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DVE ICAMPUS\Documents\Stage\Dossier_Stage_GAEL\Fichiers_EXCEL\"/>
    </mc:Choice>
  </mc:AlternateContent>
  <xr:revisionPtr revIDLastSave="0" documentId="13_ncr:1_{378B1576-110E-431D-9E45-6CA9BB8E15A7}" xr6:coauthVersionLast="47" xr6:coauthVersionMax="47" xr10:uidLastSave="{00000000-0000-0000-0000-000000000000}"/>
  <bookViews>
    <workbookView xWindow="-120" yWindow="-120" windowWidth="24240" windowHeight="13140" activeTab="3" xr2:uid="{F0616AFD-4155-47D5-9DA1-8DF52C5C0683}"/>
  </bookViews>
  <sheets>
    <sheet name="Données1" sheetId="1" r:id="rId1"/>
    <sheet name="Données2" sheetId="3" r:id="rId2"/>
    <sheet name="Graphique1 " sheetId="2" r:id="rId3"/>
    <sheet name="Graphique2" sheetId="4" r:id="rId4"/>
    <sheet name="Regression multiples"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 i="4" l="1"/>
  <c r="M12" i="4"/>
  <c r="N12" i="4"/>
  <c r="O12" i="4"/>
  <c r="P12" i="4"/>
  <c r="L13" i="4"/>
  <c r="M13" i="4"/>
  <c r="N13" i="4"/>
  <c r="O13" i="4"/>
  <c r="P13" i="4"/>
  <c r="L14" i="4"/>
  <c r="M14" i="4"/>
  <c r="N14" i="4"/>
  <c r="O14" i="4"/>
  <c r="P14" i="4"/>
  <c r="L15" i="4"/>
  <c r="M15" i="4"/>
  <c r="N15" i="4"/>
  <c r="O15" i="4"/>
  <c r="P15" i="4"/>
  <c r="L16" i="4"/>
  <c r="M16" i="4"/>
  <c r="N16" i="4"/>
  <c r="O16" i="4"/>
  <c r="P16" i="4"/>
  <c r="L17" i="4"/>
  <c r="M17" i="4"/>
  <c r="N17" i="4"/>
  <c r="O17" i="4"/>
  <c r="P17" i="4"/>
  <c r="L18" i="4"/>
  <c r="M18" i="4"/>
  <c r="N18" i="4"/>
  <c r="O18" i="4"/>
  <c r="P18" i="4"/>
  <c r="L19" i="4"/>
  <c r="M19" i="4"/>
  <c r="N19" i="4"/>
  <c r="O19" i="4"/>
  <c r="P19" i="4"/>
  <c r="L20" i="4"/>
  <c r="M20" i="4"/>
  <c r="N20" i="4"/>
  <c r="O20" i="4"/>
  <c r="P20" i="4"/>
  <c r="M11" i="4"/>
  <c r="N11" i="4"/>
  <c r="O11" i="4"/>
  <c r="P11" i="4"/>
  <c r="L11" i="4"/>
  <c r="K12" i="4"/>
  <c r="K13" i="4"/>
  <c r="K14" i="4"/>
  <c r="K15" i="4"/>
  <c r="K16" i="4"/>
  <c r="K17" i="4"/>
  <c r="K18" i="4"/>
  <c r="K19" i="4"/>
  <c r="K20" i="4"/>
  <c r="K11" i="4"/>
  <c r="H12" i="4"/>
  <c r="H13" i="4"/>
  <c r="H14" i="4"/>
  <c r="H15" i="4"/>
  <c r="H16" i="4"/>
  <c r="H17" i="4"/>
  <c r="H18" i="4"/>
  <c r="H19" i="4"/>
  <c r="H20" i="4"/>
  <c r="H11" i="4"/>
  <c r="G12" i="4"/>
  <c r="G13" i="4"/>
  <c r="G14" i="4"/>
  <c r="G15" i="4"/>
  <c r="G16" i="4"/>
  <c r="G17" i="4"/>
  <c r="G18" i="4"/>
  <c r="G19" i="4"/>
  <c r="G20" i="4"/>
  <c r="G11" i="4"/>
  <c r="F12" i="4"/>
  <c r="F13" i="4"/>
  <c r="F14" i="4"/>
  <c r="F15" i="4"/>
  <c r="F16" i="4"/>
  <c r="F17" i="4"/>
  <c r="F18" i="4"/>
  <c r="F19" i="4"/>
  <c r="F20" i="4"/>
  <c r="F11" i="4"/>
  <c r="E12" i="4"/>
  <c r="E13" i="4"/>
  <c r="E14" i="4"/>
  <c r="E15" i="4"/>
  <c r="E16" i="4"/>
  <c r="E17" i="4"/>
  <c r="E18" i="4"/>
  <c r="E19" i="4"/>
  <c r="E20" i="4"/>
  <c r="D11" i="4"/>
  <c r="E11" i="4"/>
  <c r="D12" i="4"/>
  <c r="D13" i="4"/>
  <c r="D14" i="4"/>
  <c r="D15" i="4"/>
  <c r="D16" i="4"/>
  <c r="D17" i="4"/>
  <c r="D18" i="4"/>
  <c r="D19" i="4"/>
  <c r="D20" i="4"/>
  <c r="P8" i="7" l="1"/>
  <c r="P7" i="7"/>
  <c r="P6" i="7"/>
  <c r="P9" i="7"/>
  <c r="P10" i="7"/>
  <c r="P11" i="7"/>
  <c r="P12" i="7"/>
  <c r="P13" i="7"/>
  <c r="P14" i="7"/>
  <c r="N15" i="7"/>
  <c r="M15" i="7"/>
  <c r="K15" i="7"/>
  <c r="P15" i="7" l="1"/>
  <c r="M13" i="1"/>
  <c r="P37" i="1" s="1"/>
  <c r="K13" i="1"/>
  <c r="N13" i="1"/>
  <c r="O37" i="1" s="1"/>
  <c r="E37" i="1"/>
  <c r="O28" i="1"/>
  <c r="O29" i="1"/>
  <c r="O30" i="1"/>
  <c r="O31" i="1"/>
  <c r="O32" i="1"/>
  <c r="O33" i="1"/>
  <c r="O34" i="1"/>
  <c r="O35" i="1"/>
  <c r="O36" i="1"/>
  <c r="P28" i="1"/>
  <c r="P29" i="1"/>
  <c r="P30" i="1"/>
  <c r="P31" i="1"/>
  <c r="P32" i="1"/>
  <c r="P33" i="1"/>
  <c r="P34" i="1"/>
  <c r="P35" i="1"/>
  <c r="P36" i="1"/>
  <c r="D37" i="1" l="1"/>
  <c r="F54" i="1" s="1"/>
  <c r="P52" i="1" s="1"/>
  <c r="E54" i="1"/>
  <c r="O52" i="1" s="1"/>
  <c r="B37" i="1"/>
  <c r="L37" i="1" l="1"/>
  <c r="B54" i="1" s="1"/>
  <c r="L52" i="1" s="1"/>
  <c r="C28" i="1"/>
  <c r="M28" i="1" s="1"/>
  <c r="C45" i="1" s="1"/>
  <c r="M43" i="1" s="1"/>
  <c r="C29" i="1"/>
  <c r="M29" i="1" s="1"/>
  <c r="C30" i="1"/>
  <c r="M30" i="1" s="1"/>
  <c r="C31" i="1"/>
  <c r="M31" i="1" s="1"/>
  <c r="C32" i="1"/>
  <c r="M32" i="1" s="1"/>
  <c r="C33" i="1"/>
  <c r="M33" i="1" s="1"/>
  <c r="C34" i="1"/>
  <c r="M34" i="1" s="1"/>
  <c r="C35" i="1"/>
  <c r="M35" i="1" s="1"/>
  <c r="C36" i="1"/>
  <c r="C37" i="1"/>
  <c r="M37" i="1" s="1"/>
  <c r="B28" i="1"/>
  <c r="L28" i="1" s="1"/>
  <c r="B45" i="1" s="1"/>
  <c r="L43" i="1" s="1"/>
  <c r="F28" i="1"/>
  <c r="N28" i="1" s="1"/>
  <c r="F29" i="1"/>
  <c r="N29" i="1" s="1"/>
  <c r="F30" i="1"/>
  <c r="N30" i="1" s="1"/>
  <c r="D47" i="1" s="1"/>
  <c r="N45" i="1" s="1"/>
  <c r="F31" i="1"/>
  <c r="N31" i="1" s="1"/>
  <c r="F32" i="1"/>
  <c r="N32" i="1" s="1"/>
  <c r="F33" i="1"/>
  <c r="F34" i="1"/>
  <c r="F35" i="1"/>
  <c r="F36" i="1"/>
  <c r="N36" i="1" s="1"/>
  <c r="F37" i="1"/>
  <c r="N37" i="1" s="1"/>
  <c r="E28" i="1"/>
  <c r="E45" i="1" s="1"/>
  <c r="O43" i="1" s="1"/>
  <c r="E29" i="1"/>
  <c r="E46" i="1" s="1"/>
  <c r="O44" i="1" s="1"/>
  <c r="E30" i="1"/>
  <c r="E47" i="1" s="1"/>
  <c r="O45" i="1" s="1"/>
  <c r="E31" i="1"/>
  <c r="E48" i="1" s="1"/>
  <c r="O46" i="1" s="1"/>
  <c r="E32" i="1"/>
  <c r="E49" i="1" s="1"/>
  <c r="O47" i="1" s="1"/>
  <c r="E33" i="1"/>
  <c r="E50" i="1" s="1"/>
  <c r="O48" i="1" s="1"/>
  <c r="E34" i="1"/>
  <c r="E51" i="1" s="1"/>
  <c r="O49" i="1" s="1"/>
  <c r="E35" i="1"/>
  <c r="E52" i="1" s="1"/>
  <c r="O50" i="1" s="1"/>
  <c r="E36" i="1"/>
  <c r="E53" i="1" s="1"/>
  <c r="O51" i="1" s="1"/>
  <c r="D35" i="1"/>
  <c r="F52" i="1" s="1"/>
  <c r="P50" i="1" s="1"/>
  <c r="D28" i="1"/>
  <c r="F45" i="1" s="1"/>
  <c r="D29" i="1"/>
  <c r="F46" i="1" s="1"/>
  <c r="P44" i="1" s="1"/>
  <c r="D30" i="1"/>
  <c r="F47" i="1" s="1"/>
  <c r="P45" i="1" s="1"/>
  <c r="D31" i="1"/>
  <c r="F48" i="1" s="1"/>
  <c r="P46" i="1" s="1"/>
  <c r="D32" i="1"/>
  <c r="F49" i="1" s="1"/>
  <c r="P47" i="1" s="1"/>
  <c r="D33" i="1"/>
  <c r="F50" i="1" s="1"/>
  <c r="P48" i="1" s="1"/>
  <c r="D34" i="1"/>
  <c r="F51" i="1" s="1"/>
  <c r="P49" i="1" s="1"/>
  <c r="D36" i="1"/>
  <c r="F53" i="1" s="1"/>
  <c r="P51" i="1" s="1"/>
  <c r="B29" i="1"/>
  <c r="L29" i="1" s="1"/>
  <c r="B46" i="1" s="1"/>
  <c r="L44" i="1" s="1"/>
  <c r="B30" i="1"/>
  <c r="L30" i="1" s="1"/>
  <c r="B31" i="1"/>
  <c r="L31" i="1" s="1"/>
  <c r="B32" i="1"/>
  <c r="L32" i="1" s="1"/>
  <c r="B33" i="1"/>
  <c r="B34" i="1"/>
  <c r="L34" i="1" s="1"/>
  <c r="B51" i="1" s="1"/>
  <c r="L49" i="1" s="1"/>
  <c r="B35" i="1"/>
  <c r="L35" i="1" s="1"/>
  <c r="B36" i="1"/>
  <c r="L36" i="1" s="1"/>
  <c r="L62" i="1" l="1"/>
  <c r="M62" i="1"/>
  <c r="Q43" i="1"/>
  <c r="P43" i="1"/>
  <c r="N35" i="1"/>
  <c r="D52" i="1" s="1"/>
  <c r="L33" i="1"/>
  <c r="B50" i="1" s="1"/>
  <c r="L48" i="1" s="1"/>
  <c r="N33" i="1"/>
  <c r="D50" i="1" s="1"/>
  <c r="N48" i="1" s="1"/>
  <c r="M36" i="1"/>
  <c r="C53" i="1" s="1"/>
  <c r="M51" i="1" s="1"/>
  <c r="N34" i="1"/>
  <c r="D51" i="1" s="1"/>
  <c r="N49" i="1" s="1"/>
  <c r="D54" i="1"/>
  <c r="N52" i="1" s="1"/>
  <c r="D53" i="1"/>
  <c r="N51" i="1" s="1"/>
  <c r="D49" i="1"/>
  <c r="N47" i="1" s="1"/>
  <c r="D48" i="1"/>
  <c r="N46" i="1" s="1"/>
  <c r="D46" i="1"/>
  <c r="N44" i="1" s="1"/>
  <c r="D45" i="1"/>
  <c r="N43" i="1" s="1"/>
  <c r="C54" i="1"/>
  <c r="M52" i="1" s="1"/>
  <c r="C52" i="1"/>
  <c r="C51" i="1"/>
  <c r="M49" i="1" s="1"/>
  <c r="C50" i="1"/>
  <c r="M48" i="1" s="1"/>
  <c r="C49" i="1"/>
  <c r="M47" i="1" s="1"/>
  <c r="C48" i="1"/>
  <c r="M46" i="1" s="1"/>
  <c r="C47" i="1"/>
  <c r="M45" i="1" s="1"/>
  <c r="C46" i="1"/>
  <c r="M44" i="1" s="1"/>
  <c r="B53" i="1"/>
  <c r="L51" i="1" s="1"/>
  <c r="B52" i="1"/>
  <c r="L50" i="1" s="1"/>
  <c r="B49" i="1"/>
  <c r="L47" i="1" s="1"/>
  <c r="B48" i="1"/>
  <c r="L46" i="1" s="1"/>
  <c r="B47" i="1"/>
  <c r="L45" i="1" s="1"/>
  <c r="L59" i="1" s="1"/>
  <c r="M59" i="1" l="1"/>
  <c r="M63" i="1"/>
  <c r="L63" i="1"/>
  <c r="M50" i="1"/>
  <c r="M60" i="1" s="1"/>
  <c r="N50" i="1"/>
  <c r="M61" i="1" s="1"/>
  <c r="L61" i="1" l="1"/>
  <c r="L60" i="1"/>
</calcChain>
</file>

<file path=xl/sharedStrings.xml><?xml version="1.0" encoding="utf-8"?>
<sst xmlns="http://schemas.openxmlformats.org/spreadsheetml/2006/main" count="316" uniqueCount="241">
  <si>
    <t xml:space="preserve">Années </t>
  </si>
  <si>
    <t>Electricité</t>
  </si>
  <si>
    <t>Gaz natuel</t>
  </si>
  <si>
    <t>Fioul domestique</t>
  </si>
  <si>
    <t xml:space="preserve">Petrole </t>
  </si>
  <si>
    <t>Bois</t>
  </si>
  <si>
    <t>Gaz naturel</t>
  </si>
  <si>
    <t>Petrole</t>
  </si>
  <si>
    <r>
      <rPr>
        <sz val="12"/>
        <color theme="1" tint="4.9989318521683403E-2"/>
        <rFont val="Calibri"/>
        <family val="2"/>
        <scheme val="minor"/>
      </rPr>
      <t>Années</t>
    </r>
    <r>
      <rPr>
        <sz val="12"/>
        <color theme="1"/>
        <rFont val="Calibri"/>
        <family val="2"/>
        <scheme val="minor"/>
      </rPr>
      <t xml:space="preserve"> </t>
    </r>
  </si>
  <si>
    <r>
      <rPr>
        <sz val="11"/>
        <color rgb="FFFF0000"/>
        <rFont val="Aptos Narrow"/>
      </rPr>
      <t>Sources</t>
    </r>
    <r>
      <rPr>
        <sz val="11"/>
        <color rgb="FF000000"/>
        <rFont val="Aptos Narrow"/>
        <family val="2"/>
      </rPr>
      <t xml:space="preserve"> </t>
    </r>
  </si>
  <si>
    <t>Bilan énergétique de la France en 2024- Données provisoires</t>
  </si>
  <si>
    <t xml:space="preserve">                                                                                                    Consommations Énergétiques par Usage en KWh PCI</t>
  </si>
  <si>
    <t>Années</t>
  </si>
  <si>
    <t>Cons, Elec</t>
  </si>
  <si>
    <t>Conso, Gaz N</t>
  </si>
  <si>
    <t>Conso, Fioul</t>
  </si>
  <si>
    <t>Conso, Petrole</t>
  </si>
  <si>
    <t>Conso, Bois</t>
  </si>
  <si>
    <t>https://www,statistiques,developpement-durable,gouv,fr/catalogue?page=dataset&amp;datasetId=631b03afb61e5c6479370169</t>
  </si>
  <si>
    <t>https://view,officeapps,live,com/op/view,aspx?src=https%3A%2F%2Fwww,statistiques,developpement-durable,gouv,fr%2Fmedia%2F6410%2Fdownload%3Finline&amp;wdOrigin=BROWSELINK</t>
  </si>
  <si>
    <t>https://www,insee,fr/fr/statistiques/serie/000442573</t>
  </si>
  <si>
    <t>https://www,statistiques,developpement-durable,gouv,fr/consommation-denergie-par-usage-du-residentiel?rubrique=&amp;dossier=168</t>
  </si>
  <si>
    <t>https://www,fournisseurs-electricite,com/compteur/consommation-electrique/moyenne#:~:text=Combien%20d%27%C3%A9lectricit%C3%A9%20consomme%20un%20m%C3%A9nage%20en%20France%20%3F,consommations%20d%27%C3%A9lectricit%C3%A9%20par%20compteur%20dans%20tous%20les%20d%C3%A9partements,</t>
  </si>
  <si>
    <t>https://www,statistiques,developpement-durable,gouv,fr/les-reseaux-de-chaleur-et-froid-en-2023?list-chiffres=true</t>
  </si>
  <si>
    <t>https://view,officeapps,live,com/op/view,aspx?src=https%3A%2F%2Fwww,statistiques,developpement-durable,gouv,fr%2Fmedia%2F7827%2Fdownload%3Finline&amp;wdOrigin=BROWSELINK</t>
  </si>
  <si>
    <t>Coût d'achat des Énergies (2015-2025) en €/Kwh PCI</t>
  </si>
  <si>
    <t>Évolution des Prix des Énergies  en €/Kwh PCI</t>
  </si>
  <si>
    <t>Énergie</t>
  </si>
  <si>
    <t>Équation (y = a·x + b)</t>
  </si>
  <si>
    <t>R²</t>
  </si>
  <si>
    <t>Interprétation</t>
  </si>
  <si>
    <t>Électricité</t>
  </si>
  <si>
    <t>y = –68 155·x + 17 630</t>
  </si>
  <si>
    <t>Fioul</t>
  </si>
  <si>
    <t>Pétrole</t>
  </si>
  <si>
    <t>y = –23 114·x + 8 733,6</t>
  </si>
  <si>
    <t>0.572</t>
  </si>
  <si>
    <t>Interprétation économique des équations de régression (Consommation = f(Prix))</t>
  </si>
  <si>
    <t>Hausse annuelle (€ / kWh)</t>
  </si>
  <si>
    <t>Interprétation économique</t>
  </si>
  <si>
    <r>
      <t>0,0114</t>
    </r>
    <r>
      <rPr>
        <sz val="11"/>
        <color theme="1"/>
        <rFont val="Calibri"/>
        <family val="2"/>
        <scheme val="minor"/>
      </rPr>
      <t xml:space="preserve"> (la plus forte)</t>
    </r>
  </si>
  <si>
    <t>Tendance régulière à la hausse. Reflet de la transition énergétique, électrification des usages, hausse des coûts réseau et taxes. À surveiller pour les coûts futurs.</t>
  </si>
  <si>
    <t>Hausse modérée mais très stable (fort R²). Bonne fiabilité de projection. Reflète un marché pétrolier encore structuré, bien qu'en déclin dans les usages.</t>
  </si>
  <si>
    <t>Hausse irrégulière, affectée par chocs (crises pétrolières, politiques climatiques). Moins fiable pour la prévision longue. Tendance à sortir du mix énergétique.</t>
  </si>
  <si>
    <t>Faible croissance des prix. Marché local, influencé par disponibilité régionale. Restera compétitif et stable à long terme, malgré données légèrement dispersées.</t>
  </si>
  <si>
    <t>Hausse moyenne, impactée par facteurs géopolitiques (Ukraine, COVID). Moins stable que pétrole mais tendance haussière claire. Peut être risqué à long terme.</t>
  </si>
  <si>
    <t>P(t)=0,0075t+0,0559</t>
  </si>
  <si>
    <t>P(t)=0,0055t+0,1153</t>
  </si>
  <si>
    <t>Équation P(t)</t>
  </si>
  <si>
    <t>R^2</t>
  </si>
  <si>
    <t>Résumé comparatif de l’évolution du prix des énergies (projection 2025–2044)</t>
  </si>
  <si>
    <t>P(t)=0,0045t+0,0484</t>
  </si>
  <si>
    <t>P(t)=0,0057t+0,0521</t>
  </si>
  <si>
    <t>Détermination des prix de chaleurs pour le calcul des valeurs actulles nettes</t>
  </si>
  <si>
    <t>Chaque catégorie tarifaire (bleu, vert et jaune) peut comporter plusieurs options et versions tarifaires, pour correspondre aux besoins du souscripteur.</t>
  </si>
  <si>
    <t>Sources</t>
  </si>
  <si>
    <t>https://entreprendre.service-public.fr/vosdroits/F38006</t>
  </si>
  <si>
    <t xml:space="preserve">Déduction de formule </t>
  </si>
  <si>
    <t>Détermination du tarif reglementé de vente d'électricté TRVE²</t>
  </si>
  <si>
    <t>TRV définition : Tarifs Réglementés de Vente de l'énergie</t>
  </si>
  <si>
    <t>Infos/Souscription chez EDF</t>
  </si>
  <si>
    <t>Prix de l'abonnement annuel</t>
  </si>
  <si>
    <t>Prix du kWh en base</t>
  </si>
  <si>
    <t>0,2016 €</t>
  </si>
  <si>
    <t>6 kVA</t>
  </si>
  <si>
    <t>164,64 €</t>
  </si>
  <si>
    <t>Un cas utilisable(2025)</t>
  </si>
  <si>
    <t xml:space="preserve">Sources: </t>
  </si>
  <si>
    <t>Pour calculer la consommation moyenne d'un ménage, il suffit de multiplier la consommation annuelle</t>
  </si>
  <si>
    <t>totale résidentielle en TWh par 1000 pour le convertir en kWh, puis de le diviser par le nombre total de</t>
  </si>
  <si>
    <t>sites résidentiels : (116,1 x 1000) / 10,628 = 10 924 kWh/an/foyer où 10,628 est le nombre total de sites résidentiels</t>
  </si>
  <si>
    <t>https://www.kelwatt.fr/guide/conso/moyenne-gaz</t>
  </si>
  <si>
    <t>Détermination du Prix Repère Gaz CRE², le nouveau tarif de reference</t>
  </si>
  <si>
    <t>Formule de calcul du kWh du gaz</t>
  </si>
  <si>
    <t>Une fois tous les éléments réunis, il est relativement simple de calculer le prix du gaz qui s'applique à soi. En effet, il suffit de regarder le prix du kWh TTC appliqué par le fournisseur en fonction de la zone tarifaire et la classe de consommation (se référer aux grilles tarifaires sur les sites) et le multiplier par la consommation de gaz en kWh.</t>
  </si>
  <si>
    <t>Pour obtenir le montant de sa facture, il faudra encore y ajouter le prix de l'abonnement TTC appliqué par le fournisseur.</t>
  </si>
  <si>
    <t>Barème officiel du Prix Repère Gaz par la CRE</t>
  </si>
  <si>
    <t>Pas ouvert à la souscription</t>
  </si>
  <si>
    <t>Classe de consommation du gaz</t>
  </si>
  <si>
    <t>0 - 6000 kWh/an</t>
  </si>
  <si>
    <t>6000 - 300 000 kWh/an</t>
  </si>
  <si>
    <t>114,36 €</t>
  </si>
  <si>
    <t>277,44 €</t>
  </si>
  <si>
    <t>Prix du kWh du gaz</t>
  </si>
  <si>
    <t>0,13896 €</t>
  </si>
  <si>
    <t>0,11003 €</t>
  </si>
  <si>
    <t>Prix en € TTC du Prix Repère Gaz de la CRE à jour au 17/06/2025</t>
  </si>
  <si>
    <t>Source</t>
  </si>
  <si>
    <t>Prix Repère Gaz CRE, l'indice baisse de 1,36% en juillet 2025</t>
  </si>
  <si>
    <t>Coût Énergétiques par Unité en KWh PCI</t>
  </si>
  <si>
    <t>Quel combustible de bois est le plus rentable? Comparatif</t>
  </si>
  <si>
    <t>le prix du bois de chauffage dépend:</t>
  </si>
  <si>
    <t>- du coût d'achat du bois pour le professionnel (cela dépend des régions et des essences)</t>
  </si>
  <si>
    <t>- de la main d'oeuvre nécessaire (qui dépend de la longueur des buches, du conditionnement, de la distance de livraison...)</t>
  </si>
  <si>
    <t>- des frais et taxes diverses qui s'appliquent (un bois séché en séchoir ou séché 18 mois à l'abri coute plus cher que du bois qui sort de forêt).</t>
  </si>
  <si>
    <t>Détermination du prix de vente du bois de chauffage</t>
  </si>
  <si>
    <r>
      <t>Chaque option ou version tarifaire comporte une </t>
    </r>
    <r>
      <rPr>
        <b/>
        <sz val="16"/>
        <color rgb="FF3A3A3A"/>
        <rFont val="Arial"/>
        <family val="2"/>
      </rPr>
      <t>part fixe</t>
    </r>
    <r>
      <rPr>
        <sz val="16"/>
        <color rgb="FF3A3A3A"/>
        <rFont val="Arial"/>
        <family val="2"/>
      </rPr>
      <t> et, par période tarifaire, une </t>
    </r>
    <r>
      <rPr>
        <b/>
        <sz val="16"/>
        <color rgb="FF3A3A3A"/>
        <rFont val="Arial"/>
        <family val="2"/>
      </rPr>
      <t>part proportionnelle à l'énergie consommée</t>
    </r>
    <r>
      <rPr>
        <sz val="16"/>
        <color rgb="FF3A3A3A"/>
        <rFont val="Arial"/>
        <family val="2"/>
      </rPr>
      <t>. Ces 2 composantes sont constituées :</t>
    </r>
  </si>
  <si>
    <r>
      <t>1. D'un </t>
    </r>
    <r>
      <rPr>
        <b/>
        <sz val="16"/>
        <color rgb="FF3A3A3A"/>
        <rFont val="Arial"/>
        <family val="2"/>
      </rPr>
      <t>abonnement</t>
    </r>
    <r>
      <rPr>
        <sz val="16"/>
        <color rgb="FF3A3A3A"/>
        <rFont val="Arial"/>
        <family val="2"/>
      </rPr>
      <t> ou d'une </t>
    </r>
    <r>
      <rPr>
        <b/>
        <sz val="16"/>
        <color rgb="FF3A3A3A"/>
        <rFont val="Arial"/>
        <family val="2"/>
      </rPr>
      <t>prime fixe annuelle</t>
    </r>
    <r>
      <rPr>
        <sz val="16"/>
        <color rgb="FF3A3A3A"/>
        <rFont val="Arial"/>
        <family val="2"/>
      </rPr>
      <t> en euros par an et, pour certains abonnements, en euros par kVA</t>
    </r>
  </si>
  <si>
    <r>
      <t>2. D'un </t>
    </r>
    <r>
      <rPr>
        <b/>
        <sz val="16"/>
        <color rgb="FF3A3A3A"/>
        <rFont val="Arial"/>
        <family val="2"/>
      </rPr>
      <t>prix unitaire de fourniture d'énergie</t>
    </r>
    <r>
      <rPr>
        <sz val="16"/>
        <color rgb="FF3A3A3A"/>
        <rFont val="Arial"/>
        <family val="2"/>
      </rPr>
      <t>, dit « prix de l'énergie », exprimé en centimes d'euros par kilowattheure (kWh) pour les flux qui ne sont pas autoconsommés, pour chaque période tarifaire.</t>
    </r>
  </si>
  <si>
    <r>
      <t xml:space="preserve">TRV²:  </t>
    </r>
    <r>
      <rPr>
        <b/>
        <sz val="16"/>
        <color theme="1"/>
        <rFont val="Calibri"/>
        <family val="2"/>
        <scheme val="minor"/>
      </rPr>
      <t>Les tarifs réglementés de vente de l'électricité (TRVE) sont un ensemble de tarifs de vente d'électricité régulés par l'État.</t>
    </r>
    <r>
      <rPr>
        <sz val="16"/>
        <color theme="1"/>
        <rFont val="Calibri"/>
        <family val="2"/>
        <scheme val="minor"/>
      </rPr>
      <t xml:space="preserve"> </t>
    </r>
  </si>
  <si>
    <t>https://www.kelwatt.fr/prix/gaz/repere-cre</t>
  </si>
  <si>
    <t>https://www.bois-de-chauffage.net/les-fournisseurs-de-bois-de-chauffage/38000_GRENOBLE/buches.php#choixcom</t>
  </si>
  <si>
    <t>https://www.bois-de-chauffage.net/tarifs-bois.php</t>
  </si>
  <si>
    <t>Données utilisés</t>
  </si>
  <si>
    <t>Bois en vrac taille 0.25m Livraison inclus</t>
  </si>
  <si>
    <t>Taille</t>
  </si>
  <si>
    <t xml:space="preserve">Conditionnement </t>
  </si>
  <si>
    <t>Frais</t>
  </si>
  <si>
    <t>Formule</t>
  </si>
  <si>
    <t xml:space="preserve">Gaz Abonnement </t>
  </si>
  <si>
    <t>Elec Abonnement</t>
  </si>
  <si>
    <t xml:space="preserve"> Difference coût pour la VAN €.KWh</t>
  </si>
  <si>
    <t xml:space="preserve">Taux actualisation </t>
  </si>
  <si>
    <t>P_heat = Prix du kWh TTC  X Consommation de gaz en kWh + Abonnement  </t>
  </si>
  <si>
    <t xml:space="preserve">P_heat = Frais transport + Coût_Bois + Conditionnement + longeur des bûches </t>
  </si>
  <si>
    <t>P_heat = Abonnement + P_électricité* Conso_gaz</t>
  </si>
  <si>
    <t>Energies</t>
  </si>
  <si>
    <t>Ecart-type</t>
  </si>
  <si>
    <t>Gaz Naturel</t>
  </si>
  <si>
    <t xml:space="preserve">Bois </t>
  </si>
  <si>
    <t xml:space="preserve"> VAN annuelles €</t>
  </si>
  <si>
    <t>Élément</t>
  </si>
  <si>
    <t>Description</t>
  </si>
  <si>
    <t>Cours du pétrole brut</t>
  </si>
  <si>
    <t>En $/baril. Dépend du marché mondial, fluctue selon offre/demande</t>
  </si>
  <si>
    <t>Taux de change EUR/USD</t>
  </si>
  <si>
    <t>Convertit le prix du pétrole brut en euros</t>
  </si>
  <si>
    <t>Marge de raffinage</t>
  </si>
  <si>
    <t>Coût estimé du raffinage (différent selon marché régional : Rotterdam, Gênes-Lavéra, etc.)</t>
  </si>
  <si>
    <t>Frais de transport</t>
  </si>
  <si>
    <t>Dépendent de la distance au port, logistique locale</t>
  </si>
  <si>
    <t>TICPE</t>
  </si>
  <si>
    <t>Taxe intérieure sur les produits énergétiques (fixe)</t>
  </si>
  <si>
    <t>TVA</t>
  </si>
  <si>
    <t>Taxe sur la valeur ajoutée (20% en France)</t>
  </si>
  <si>
    <t>Détermination du prix de vente du fioul dommestique</t>
  </si>
  <si>
    <t xml:space="preserve">Sources </t>
  </si>
  <si>
    <t>https://www.proxi-totalenergies.fr/particuliers/fioul/acheter-du-fioul/le-calcul-du-prix-du-fioul</t>
  </si>
  <si>
    <t>Composant du prix de fioul domestiques</t>
  </si>
  <si>
    <t>Il existe déjà des prix à la consommation sur Insee</t>
  </si>
  <si>
    <t>Indice annuel des prix à la consommation - Base 2015 - Ensemble des ménages - France métropolitaine - Énergie : Produits pétroliers | Insee</t>
  </si>
  <si>
    <t>Indice des prix à la consommation - Base 2015 - Ensemble des ménages - France métropolitaine - Fioul domestique (1 000 litres)</t>
  </si>
  <si>
    <t>Indice des prix à la consommation - Base 2015 - Ensemble des ménages - France métropolitaine - Fioul domestique (1 000 litres) | Insee</t>
  </si>
  <si>
    <t>Convertion en Litres en kilowattheure.</t>
  </si>
  <si>
    <t xml:space="preserve">1 litre de fioul = 10 kWh  </t>
  </si>
  <si>
    <t>https://www.primagaz.fr/guide-choisir-energie/comparer-gaz-propane/fioul-gaz-propane/comparer-litre-tonne-kwh</t>
  </si>
  <si>
    <t>(cours du pétrole brut, coût du raffinage, coûts de transport-distribution, fiscalité).</t>
  </si>
  <si>
    <t xml:space="preserve">Les prix à la consommation des produits pétroliers reflètent les évolutions de leurs différentes composantes suivantes : </t>
  </si>
  <si>
    <t>Voir le site Minitères écologie énergie territoire</t>
  </si>
  <si>
    <t>https://www.ecologie.gouv.fr/politiques-publiques/prix-produits-petroliers</t>
  </si>
  <si>
    <t xml:space="preserve">On peut trouver des donner éalement sur Insee </t>
  </si>
  <si>
    <t xml:space="preserve">Détermination du prix de vente des produits Pétroliers </t>
  </si>
  <si>
    <t>https://www.euro-petrole.com/la-consommation-francaise-de-produits-energetiques-en-mai-2025-n-f-28589</t>
  </si>
  <si>
    <t>VAN MOYENNE</t>
  </si>
  <si>
    <t>~0.84</t>
  </si>
  <si>
    <t>y = –4664,4·x + 1454,7</t>
  </si>
  <si>
    <t>0.86</t>
  </si>
  <si>
    <t>0.93</t>
  </si>
  <si>
    <t>y = -21332·x + 18 156</t>
  </si>
  <si>
    <t>Très forte élasticité prix : à chaque hausse de prix, la consommation chute fortement. Le R² élevé montre que le prix est un facteur déterminant dans les décisions de consommation de gaz. Les ménages réagissent fortement, probablement en réduisant leur usage ou en changeant d’énergie.</t>
  </si>
  <si>
    <t>Consommation sensible au prix, mais également influencée par des facteurs externes (interdictions, désuétude, politique énergétique). Le bon R²
 indique un lien significatif, mais l’effet prix est partiellement masqué par des politiques de sortie du fioul.</t>
  </si>
  <si>
    <t>Bien que la pente soit faible, le R² très élevé montre une tendance claire et régulière à la baisse de la consommation avec la hausse des prix. Cela reflète un effet de substitution lent mais constant, probablement vers d'autres formes d'énergie ou une réduction générale de l’usage.</t>
  </si>
  <si>
    <t>Pente fortement négative, mais la consommation reste globalement élevée malgré la hausse des prix. Cela traduit une demande rigide (inélastique), influencée par la hausse structurelle des usages électriques (pompes à chaleur, voitures électriques). Le prix joue un rôle, mais est secondaire face aux transitions énergétiques.</t>
  </si>
  <si>
    <t>Demande moyennement élastique. Les gens réduisent un peu la consommation avec hausse du prix, mais effet limité. Le bois reste économique, mais dépend du confort, accès local, etc.</t>
  </si>
  <si>
    <t>P(t)=0,0094t+0,1464</t>
  </si>
  <si>
    <t>Bin</t>
  </si>
  <si>
    <t>More</t>
  </si>
  <si>
    <t>Frequency</t>
  </si>
  <si>
    <t>Cumulative %</t>
  </si>
  <si>
    <t>0.81</t>
  </si>
  <si>
    <t>y = –27954·x + 7116,3</t>
  </si>
  <si>
    <t>Régression linéaire du prix de vente des produits énergetique pour le chauffage domestique</t>
  </si>
  <si>
    <t xml:space="preserve">Nous avons vu dans la feuille Données 2 comment est calculé le prix de vente des produits énergétique pour le chauffage domestique </t>
  </si>
  <si>
    <t xml:space="preserve">Pour cela nous avons remarqué que le prix de vente dépendants de la consomation unitaire qui represente le coefficient directeur de la droite de regression et d'un coût fixe qui est l'abonnement </t>
  </si>
  <si>
    <t>NB</t>
  </si>
  <si>
    <t>Auparavant nous avont calculer directement le coût de vente ( cf feuille Données 1) mais nous rétrouvon la formule de du prix de vente des produit énergétique</t>
  </si>
  <si>
    <t>Conso, Totales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</si>
  <si>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</si>
  <si>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</si>
  <si>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</si>
  <si>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</si>
  <si>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</si>
  <si>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</si>
  <si>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</si>
  <si>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</si>
  <si>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</si>
  <si>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</si>
  <si>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</si>
  <si>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</si>
  <si>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</si>
  <si>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</si>
  <si>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</si>
  <si>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</si>
  <si>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</si>
  <si>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</si>
  <si>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</si>
  <si>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</si>
  <si>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</si>
  <si>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</si>
  <si>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</si>
  <si>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</si>
  <si>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Prix Fioul domestique</t>
  </si>
  <si>
    <t>Prix du Bois</t>
  </si>
  <si>
    <t xml:space="preserve">Prix du Petrole </t>
  </si>
  <si>
    <t>Prix du Gaz natuel</t>
  </si>
  <si>
    <t>RESIDUAL OUTPUT</t>
  </si>
  <si>
    <t>Observation</t>
  </si>
  <si>
    <t>Predicted Conso, Totales</t>
  </si>
  <si>
    <t>Residuals</t>
  </si>
  <si>
    <t>Standard Residuals</t>
  </si>
  <si>
    <t>PROBABILITY OUTPUT</t>
  </si>
  <si>
    <t>Percentile</t>
  </si>
  <si>
    <t>Prix d'Electricité</t>
  </si>
  <si>
    <t xml:space="preserve">Le prix de vente de chaleur </t>
  </si>
  <si>
    <t>1. Électricité</t>
  </si>
  <si>
    <t>Interprétation :</t>
  </si>
  <si>
    <r>
      <t xml:space="preserve">Le prix de vente de la chaleur augmente en moyenne de </t>
    </r>
    <r>
      <rPr>
        <b/>
        <sz val="11"/>
        <color theme="1"/>
        <rFont val="Calibri"/>
        <family val="2"/>
        <scheme val="minor"/>
      </rPr>
      <t>88,35 €</t>
    </r>
    <r>
      <rPr>
        <sz val="11"/>
        <color theme="1"/>
        <rFont val="Calibri"/>
        <family val="2"/>
        <scheme val="minor"/>
      </rPr>
      <t xml:space="preserve"> pour chaque hausse de </t>
    </r>
    <r>
      <rPr>
        <b/>
        <sz val="11"/>
        <color theme="1"/>
        <rFont val="Calibri"/>
        <family val="2"/>
        <scheme val="minor"/>
      </rPr>
      <t>1 €</t>
    </r>
    <r>
      <rPr>
        <sz val="11"/>
        <color theme="1"/>
        <rFont val="Calibri"/>
        <family val="2"/>
        <scheme val="minor"/>
      </rPr>
      <t xml:space="preserve"> du prix unitaire de l’électricité.</t>
    </r>
  </si>
  <si>
    <t xml:space="preserve"> Le coefficient de détermination élevé (R²=0,8882) indique une forte corrélation linéaire : </t>
  </si>
  <si>
    <t>plus le prix de l’électricité augmente, plus le prix de la chaleur est susceptible d’augmenter. Le lien est donc très significatif et prédictif.</t>
  </si>
  <si>
    <t>2. Gaz naturel</t>
  </si>
  <si>
    <r>
      <t>Équation :</t>
    </r>
    <r>
      <rPr>
        <sz val="11"/>
        <color theme="1"/>
        <rFont val="Calibri"/>
        <family val="2"/>
        <scheme val="minor"/>
      </rPr>
      <t xml:space="preserve"> y=26,579x+937,68 et R²=0,5212</t>
    </r>
  </si>
  <si>
    <r>
      <t>Équation :</t>
    </r>
    <r>
      <rPr>
        <sz val="11"/>
        <color theme="1"/>
        <rFont val="Calibri"/>
        <family val="2"/>
        <scheme val="minor"/>
      </rPr>
      <t xml:space="preserve"> y=88,348x+2418,8 et R²=0,8882</t>
    </r>
  </si>
  <si>
    <r>
      <t xml:space="preserve">Chaque euro supplémentaire sur le prix du gaz naturel conduit à une hausse moyenne de </t>
    </r>
    <r>
      <rPr>
        <b/>
        <sz val="11"/>
        <color theme="1"/>
        <rFont val="Calibri"/>
        <family val="2"/>
        <scheme val="minor"/>
      </rPr>
      <t>26,58 €</t>
    </r>
    <r>
      <rPr>
        <sz val="11"/>
        <color theme="1"/>
        <rFont val="Calibri"/>
        <family val="2"/>
        <scheme val="minor"/>
      </rPr>
      <t xml:space="preserve"> sur le prix de la chaleur.</t>
    </r>
  </si>
  <si>
    <t xml:space="preserve"> Toutefois, le coefficient R² modéré (0,5212) traduit une relation moyenne : le lien existe, mais d’autres facteurs influencent probablement la variation du prix de la chaleur.</t>
  </si>
  <si>
    <t>3. Fioul domestique</t>
  </si>
  <si>
    <r>
      <t xml:space="preserve">Il s’agit de la pente la plus élevée : une hausse de </t>
    </r>
    <r>
      <rPr>
        <b/>
        <sz val="11"/>
        <color theme="1"/>
        <rFont val="Calibri"/>
        <family val="2"/>
        <scheme val="minor"/>
      </rPr>
      <t>1 €</t>
    </r>
    <r>
      <rPr>
        <sz val="11"/>
        <color theme="1"/>
        <rFont val="Calibri"/>
        <family val="2"/>
        <scheme val="minor"/>
      </rPr>
      <t xml:space="preserve"> du fioul domestique se traduit par une augmentation de </t>
    </r>
    <r>
      <rPr>
        <b/>
        <sz val="11"/>
        <color theme="1"/>
        <rFont val="Calibri"/>
        <family val="2"/>
        <scheme val="minor"/>
      </rPr>
      <t>130,06 €</t>
    </r>
    <r>
      <rPr>
        <sz val="11"/>
        <color theme="1"/>
        <rFont val="Calibri"/>
        <family val="2"/>
        <scheme val="minor"/>
      </rPr>
      <t xml:space="preserve"> du prix de la chaleur, </t>
    </r>
  </si>
  <si>
    <t>ce qui montre un fort effet de levier. Le coefficient R²=0,71 montre que la relation est assez forte, bien qu’un peu plus dispersée que celle de l’électricité.</t>
  </si>
  <si>
    <r>
      <t>Équation :</t>
    </r>
    <r>
      <rPr>
        <sz val="11"/>
        <color theme="1"/>
        <rFont val="Calibri"/>
        <family val="2"/>
        <scheme val="minor"/>
      </rPr>
      <t xml:space="preserve"> y=130,06x+805,45 et R²=0,71</t>
    </r>
  </si>
  <si>
    <t>4. Pétrole</t>
  </si>
  <si>
    <r>
      <t xml:space="preserve">La pente est significative : chaque euro de hausse du prix du pétrole est associé à une augmentation d’environ </t>
    </r>
    <r>
      <rPr>
        <b/>
        <sz val="11"/>
        <color theme="1"/>
        <rFont val="Calibri"/>
        <family val="2"/>
        <scheme val="minor"/>
      </rPr>
      <t>93,32 €</t>
    </r>
    <r>
      <rPr>
        <sz val="11"/>
        <color theme="1"/>
        <rFont val="Calibri"/>
        <family val="2"/>
        <scheme val="minor"/>
      </rPr>
      <t xml:space="preserve"> du prix de la chaleur.  </t>
    </r>
  </si>
  <si>
    <t>Néanmoins, le coefficient R²=0,4547 indique une corrélation modérée à faible, ce qui suggère que la relation est moins stable que pour d'autres sources.</t>
  </si>
  <si>
    <r>
      <t>Équation :</t>
    </r>
    <r>
      <rPr>
        <sz val="11"/>
        <color theme="1"/>
        <rFont val="Calibri"/>
        <family val="2"/>
        <scheme val="minor"/>
      </rPr>
      <t xml:space="preserve"> y=93,315x+615,36 et R²=0,4547</t>
    </r>
  </si>
  <si>
    <t>5. Bois</t>
  </si>
  <si>
    <r>
      <t>Équation :</t>
    </r>
    <r>
      <rPr>
        <sz val="11"/>
        <color theme="1"/>
        <rFont val="Calibri"/>
        <family val="2"/>
        <scheme val="minor"/>
      </rPr>
      <t xml:space="preserve"> y=42,594x+677,56 et R²=0,5373</t>
    </r>
  </si>
  <si>
    <r>
      <t xml:space="preserve">Une augmentation du prix du bois de </t>
    </r>
    <r>
      <rPr>
        <b/>
        <sz val="11"/>
        <color theme="1"/>
        <rFont val="Calibri"/>
        <family val="2"/>
        <scheme val="minor"/>
      </rPr>
      <t>1 €</t>
    </r>
    <r>
      <rPr>
        <sz val="11"/>
        <color theme="1"/>
        <rFont val="Calibri"/>
        <family val="2"/>
        <scheme val="minor"/>
      </rPr>
      <t xml:space="preserve"> entraîne une hausse estimée de </t>
    </r>
    <r>
      <rPr>
        <b/>
        <sz val="11"/>
        <color theme="1"/>
        <rFont val="Calibri"/>
        <family val="2"/>
        <scheme val="minor"/>
      </rPr>
      <t>42,59 €</t>
    </r>
    <r>
      <rPr>
        <sz val="11"/>
        <color theme="1"/>
        <rFont val="Calibri"/>
        <family val="2"/>
        <scheme val="minor"/>
      </rPr>
      <t xml:space="preserve"> du prix de la chaleur. </t>
    </r>
  </si>
  <si>
    <t xml:space="preserve">La valeur R²=0,5373 indique une relation moyenne, reflétant un lien existant mais modéré. </t>
  </si>
  <si>
    <t>Ce résultat peut s’expliquer par une plus grande stabilité des prix du bois ou par une plus faible dépendance du prix de la chaleur à cette énergie.</t>
  </si>
  <si>
    <t>Conclusion globale</t>
  </si>
  <si>
    <t xml:space="preserve">À l’inverse, le gaz naturel, le bois et surtout le pétrole présentent des corrélations plus faibles, suggérant que le prix de la chaleur dépend </t>
  </si>
  <si>
    <t>aussi d’autres facteurs économiques ou techniques selon la source d’énergie utilisée.</t>
  </si>
  <si>
    <t xml:space="preserve">L’électricité et le fioul domestique montrent les liens les plus forts avec le prix de la chaleur, tant en impact direct (pente) qu’en prédictibilité (R²).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</si>
</sst>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0.00\ &quot;€&quot;;[Red]\-#,##0.00\ &quot;€&quot;"/>
    <numFmt numFmtId="164" formatCode="0.000"/>
    <numFmt numFmtId="165" formatCode="#,##0.00\ &quot;€&quot;"/>
  </numFmts>
  <fonts count="70">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Aptos Narrow"/>
      <family val="2"/>
    </font>
    <font>
      <b/>
      <sz val="11"/>
      <color rgb="FF000000"/>
      <name val="Aptos Narrow"/>
      <family val="2"/>
    </font>
    <font>
      <b/>
      <sz val="12"/>
      <color theme="1" tint="4.9989318521683403E-2"/>
      <name val="Calibri"/>
      <family val="2"/>
      <scheme val="minor"/>
    </font>
    <font>
      <sz val="12"/>
      <color theme="1"/>
      <name val="Calibri"/>
      <family val="2"/>
      <scheme val="minor"/>
    </font>
    <font>
      <sz val="12"/>
      <color theme="1" tint="4.9989318521683403E-2"/>
      <name val="Calibri"/>
      <family val="2"/>
      <scheme val="minor"/>
    </font>
    <font>
      <sz val="11"/>
      <color theme="1"/>
      <name val="Arial"/>
      <family val="2"/>
    </font>
    <font>
      <u/>
      <sz val="11"/>
      <color theme="10"/>
      <name val="Calibri"/>
      <family val="2"/>
      <scheme val="minor"/>
    </font>
    <font>
      <u/>
      <sz val="11"/>
      <color theme="11"/>
      <name val="Calibri"/>
      <family val="2"/>
      <scheme val="minor"/>
    </font>
    <font>
      <sz val="11"/>
      <color rgb="FF000000"/>
      <name val="Aptos Narrow"/>
    </font>
    <font>
      <sz val="11"/>
      <color rgb="FFFF0000"/>
      <name val="Aptos Narrow"/>
    </font>
    <font>
      <sz val="14"/>
      <color theme="1"/>
      <name val="Calibri"/>
      <family val="2"/>
      <scheme val="minor"/>
    </font>
    <font>
      <b/>
      <sz val="11"/>
      <color rgb="FFFF0000"/>
      <name val="Calibri"/>
      <family val="2"/>
      <scheme val="minor"/>
    </font>
    <font>
      <sz val="14"/>
      <color rgb="FF474849"/>
      <name val="Arial"/>
      <family val="2"/>
    </font>
    <font>
      <sz val="16"/>
      <color theme="1"/>
      <name val="Calibri"/>
      <family val="2"/>
      <scheme val="minor"/>
    </font>
    <font>
      <b/>
      <sz val="16"/>
      <color theme="1"/>
      <name val="Calibri"/>
      <family val="2"/>
      <scheme val="minor"/>
    </font>
    <font>
      <sz val="18"/>
      <color theme="1"/>
      <name val="Calibri"/>
      <family val="2"/>
      <scheme val="minor"/>
    </font>
    <font>
      <b/>
      <sz val="16"/>
      <color theme="3"/>
      <name val="Calibri"/>
      <family val="2"/>
      <scheme val="minor"/>
    </font>
    <font>
      <b/>
      <sz val="20"/>
      <color theme="3"/>
      <name val="Calibri"/>
      <family val="2"/>
      <scheme val="minor"/>
    </font>
    <font>
      <b/>
      <sz val="14"/>
      <color rgb="FFFF0000"/>
      <name val="Calibri"/>
      <family val="2"/>
      <scheme val="minor"/>
    </font>
    <font>
      <u/>
      <sz val="14"/>
      <color theme="10"/>
      <name val="Calibri"/>
      <family val="2"/>
      <scheme val="minor"/>
    </font>
    <font>
      <b/>
      <sz val="14"/>
      <color theme="1"/>
      <name val="Arial"/>
      <family val="2"/>
    </font>
    <font>
      <sz val="14"/>
      <color rgb="FF474849"/>
      <name val="Arial"/>
      <family val="2"/>
    </font>
    <font>
      <b/>
      <sz val="14"/>
      <color rgb="FFFF0000"/>
      <name val="Arial"/>
      <family val="2"/>
    </font>
    <font>
      <u/>
      <sz val="14"/>
      <color theme="10"/>
      <name val="Arial"/>
      <family val="2"/>
    </font>
    <font>
      <sz val="16"/>
      <color rgb="FF3A3A3A"/>
      <name val="Arial"/>
      <family val="2"/>
    </font>
    <font>
      <b/>
      <sz val="16"/>
      <color rgb="FF3A3A3A"/>
      <name val="Arial"/>
      <family val="2"/>
    </font>
    <font>
      <b/>
      <sz val="16"/>
      <color rgb="FFFF0000"/>
      <name val="Calibri"/>
      <family val="2"/>
      <scheme val="minor"/>
    </font>
    <font>
      <u/>
      <sz val="16"/>
      <color theme="10"/>
      <name val="Calibri"/>
      <family val="2"/>
      <scheme val="minor"/>
    </font>
    <font>
      <sz val="16"/>
      <color theme="0"/>
      <name val="Calibri"/>
      <family val="2"/>
      <scheme val="minor"/>
    </font>
    <font>
      <b/>
      <sz val="16"/>
      <color theme="1"/>
      <name val="Arial"/>
      <family val="2"/>
    </font>
    <font>
      <sz val="16"/>
      <color theme="1"/>
      <name val="Arial"/>
      <family val="2"/>
    </font>
    <font>
      <sz val="16"/>
      <color rgb="FF474849"/>
      <name val="Arial"/>
      <family val="2"/>
    </font>
    <font>
      <b/>
      <sz val="16"/>
      <color rgb="FF474849"/>
      <name val="Arial"/>
      <family val="2"/>
    </font>
    <font>
      <sz val="16"/>
      <color rgb="FF474849"/>
      <name val="Arial"/>
      <family val="2"/>
    </font>
    <font>
      <b/>
      <sz val="16"/>
      <color rgb="FFFF0000"/>
      <name val="Arial"/>
      <family val="2"/>
    </font>
    <font>
      <u/>
      <sz val="16"/>
      <color theme="10"/>
      <name val="Arial"/>
      <family val="2"/>
    </font>
    <font>
      <b/>
      <sz val="18"/>
      <color rgb="FFFF0000"/>
      <name val="Calibri"/>
      <family val="2"/>
      <scheme val="minor"/>
    </font>
    <font>
      <u/>
      <sz val="18"/>
      <color theme="10"/>
      <name val="Calibri"/>
      <family val="2"/>
      <scheme val="minor"/>
    </font>
    <font>
      <sz val="14"/>
      <color rgb="FF343535"/>
      <name val="Arial"/>
      <family val="2"/>
    </font>
    <font>
      <b/>
      <sz val="14"/>
      <color rgb="FF58595B"/>
      <name val="Arial"/>
      <family val="2"/>
    </font>
    <font>
      <sz val="14"/>
      <color rgb="FF58595B"/>
      <name val="Arial"/>
      <family val="2"/>
    </font>
    <font>
      <b/>
      <sz val="22"/>
      <color theme="3"/>
      <name val="Calibri"/>
      <family val="2"/>
      <scheme val="minor"/>
    </font>
    <font>
      <sz val="16"/>
      <color rgb="FFFF0000"/>
      <name val="Arial"/>
      <family val="2"/>
    </font>
    <font>
      <i/>
      <sz val="16"/>
      <color rgb="FF7F7F7F"/>
      <name val="Calibri"/>
      <family val="2"/>
      <scheme val="minor"/>
    </font>
    <font>
      <b/>
      <sz val="18"/>
      <color theme="1"/>
      <name val="Calibri"/>
      <family val="2"/>
      <scheme val="minor"/>
    </font>
    <font>
      <i/>
      <sz val="11"/>
      <color theme="1"/>
      <name val="Calibri"/>
      <family val="2"/>
      <scheme val="minor"/>
    </font>
    <font>
      <b/>
      <sz val="18"/>
      <color theme="1"/>
      <name val="Arial"/>
      <family val="2"/>
    </font>
    <font>
      <b/>
      <u/>
      <sz val="16"/>
      <color theme="10"/>
      <name val="Arial"/>
      <family val="2"/>
    </font>
    <font>
      <b/>
      <sz val="20"/>
      <color theme="1"/>
      <name val="Calibri"/>
      <family val="2"/>
      <scheme val="minor"/>
    </font>
    <font>
      <sz val="26"/>
      <color rgb="FFFF0000"/>
      <name val="Calibri"/>
      <family val="2"/>
      <scheme val="minor"/>
    </font>
    <font>
      <sz val="16"/>
      <color theme="0"/>
      <name val="Arial"/>
      <family val="2"/>
    </font>
    <font>
      <sz val="11"/>
      <color rgb="FF9C5700"/>
      <name val="Calibri"/>
      <family val="2"/>
      <scheme val="minor"/>
    </font>
    <font>
      <sz val="11"/>
      <color rgb="FF006100"/>
      <name val="Calibri"/>
      <family val="2"/>
      <scheme val="minor"/>
    </font>
    <font>
      <b/>
      <sz val="11"/>
      <color theme="0"/>
      <name val="Calibri"/>
      <family val="2"/>
      <scheme val="minor"/>
    </font>
    <font>
      <b/>
      <sz val="12"/>
      <color theme="0"/>
      <name val="Calibri"/>
      <family val="2"/>
      <scheme val="minor"/>
    </font>
    <font>
      <i/>
      <sz val="12"/>
      <color theme="1"/>
      <name val="Calibri"/>
      <family val="2"/>
      <scheme val="minor"/>
    </font>
    <font>
      <sz val="12"/>
      <color rgb="FF006100"/>
      <name val="Calibri"/>
      <family val="2"/>
      <scheme val="minor"/>
    </font>
    <font>
      <sz val="12"/>
      <color rgb="FF9C0006"/>
      <name val="Calibri"/>
      <family val="2"/>
      <scheme val="minor"/>
    </font>
    <font>
      <b/>
      <sz val="13.5"/>
      <color theme="1"/>
      <name val="Calibri"/>
      <family val="2"/>
      <scheme val="minor"/>
    </font>
  </fonts>
  <fills count="34">
    <fill>
      <patternFill patternType="none"/>
    </fill>
    <fill>
      <patternFill patternType="gray125"/>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4"/>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5"/>
        <bgColor theme="5"/>
      </patternFill>
    </fill>
    <fill>
      <patternFill patternType="solid">
        <fgColor theme="5" tint="0.79998168889431442"/>
        <bgColor theme="5" tint="0.79998168889431442"/>
      </patternFill>
    </fill>
    <fill>
      <patternFill patternType="solid">
        <fgColor theme="7"/>
        <bgColor theme="7"/>
      </patternFill>
    </fill>
    <fill>
      <patternFill patternType="solid">
        <fgColor theme="7" tint="0.79998168889431442"/>
        <bgColor theme="7" tint="0.79998168889431442"/>
      </patternFill>
    </fill>
    <fill>
      <patternFill patternType="solid">
        <fgColor rgb="FFEDEEEE"/>
        <bgColor indexed="64"/>
      </patternFill>
    </fill>
    <fill>
      <patternFill patternType="solid">
        <fgColor theme="2"/>
        <bgColor indexed="64"/>
      </patternFill>
    </fill>
    <fill>
      <patternFill patternType="solid">
        <fgColor theme="3"/>
        <bgColor indexed="64"/>
      </patternFill>
    </fill>
    <fill>
      <patternFill patternType="solid">
        <fgColor theme="2" tint="-9.9978637043366805E-2"/>
        <bgColor indexed="64"/>
      </patternFill>
    </fill>
    <fill>
      <patternFill patternType="solid">
        <fgColor rgb="FF00206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C6EFCE"/>
      </patternFill>
    </fill>
    <fill>
      <patternFill patternType="solid">
        <fgColor rgb="FFA5A5A5"/>
      </patternFill>
    </fill>
    <fill>
      <patternFill patternType="solid">
        <fgColor theme="2" tint="-0.249977111117893"/>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0" tint="-4.9989318521683403E-2"/>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7" tint="0.39997558519241921"/>
      </top>
      <bottom style="thin">
        <color theme="7" tint="0.39997558519241921"/>
      </bottom>
      <diagonal/>
    </border>
    <border>
      <left/>
      <right/>
      <top/>
      <bottom style="thin">
        <color theme="5" tint="0.39997558519241921"/>
      </bottom>
      <diagonal/>
    </border>
    <border>
      <left/>
      <right/>
      <top style="thin">
        <color theme="5" tint="0.39997558519241921"/>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3F3F3F"/>
      </left>
      <right style="thin">
        <color rgb="FF3F3F3F"/>
      </right>
      <top style="thin">
        <color rgb="FF3F3F3F"/>
      </top>
      <bottom/>
      <diagonal/>
    </border>
    <border>
      <left/>
      <right/>
      <top style="thin">
        <color indexed="64"/>
      </top>
      <bottom/>
      <diagonal/>
    </border>
    <border>
      <left style="thin">
        <color indexed="64"/>
      </left>
      <right style="thin">
        <color indexed="64"/>
      </right>
      <top style="thin">
        <color indexed="64"/>
      </top>
      <bottom/>
      <diagonal/>
    </border>
    <border>
      <left/>
      <right/>
      <top/>
      <bottom style="medium">
        <color indexed="64"/>
      </bottom>
      <diagonal/>
    </border>
    <border>
      <left/>
      <right/>
      <top style="medium">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right/>
      <top/>
      <bottom style="thin">
        <color theme="7" tint="0.39997558519241921"/>
      </bottom>
      <diagonal/>
    </border>
    <border>
      <left/>
      <right/>
      <top style="thin">
        <color theme="7" tint="0.39997558519241921"/>
      </top>
      <bottom/>
      <diagonal/>
    </border>
  </borders>
  <cellStyleXfs count="20">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5" fillId="2" borderId="0" applyNumberFormat="0" applyBorder="0" applyAlignment="0" applyProtection="0"/>
    <xf numFmtId="0" fontId="6" fillId="4" borderId="4" applyNumberFormat="0" applyAlignment="0" applyProtection="0"/>
    <xf numFmtId="0" fontId="7" fillId="0" borderId="0" applyNumberFormat="0" applyFill="0" applyBorder="0" applyAlignment="0" applyProtection="0"/>
    <xf numFmtId="0" fontId="1" fillId="5" borderId="5" applyNumberFormat="0" applyFont="0" applyAlignment="0" applyProtection="0"/>
    <xf numFmtId="0" fontId="8" fillId="0" borderId="0" applyNumberFormat="0" applyFill="0" applyBorder="0" applyAlignment="0" applyProtection="0"/>
    <xf numFmtId="0" fontId="9" fillId="0" borderId="6" applyNumberFormat="0" applyFill="0" applyAlignment="0" applyProtection="0"/>
    <xf numFmtId="0" fontId="10"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62" fillId="3" borderId="0" applyNumberFormat="0" applyBorder="0" applyAlignment="0" applyProtection="0"/>
    <xf numFmtId="0" fontId="63" fillId="25" borderId="0" applyNumberFormat="0" applyBorder="0" applyAlignment="0" applyProtection="0"/>
    <xf numFmtId="0" fontId="64" fillId="26" borderId="25" applyNumberFormat="0" applyAlignment="0" applyProtection="0"/>
  </cellStyleXfs>
  <cellXfs count="237">
    <xf numFmtId="0" fontId="0" fillId="0" borderId="0" xfId="0"/>
    <xf numFmtId="0" fontId="11" fillId="0" borderId="0" xfId="0" applyFont="1"/>
    <xf numFmtId="0" fontId="11" fillId="0" borderId="0" xfId="0" applyFont="1" applyAlignment="1">
      <alignment horizontal="center"/>
    </xf>
    <xf numFmtId="0" fontId="11" fillId="14" borderId="7" xfId="0" applyFont="1" applyFill="1" applyBorder="1" applyAlignment="1">
      <alignment horizontal="center"/>
    </xf>
    <xf numFmtId="0" fontId="11" fillId="0" borderId="7" xfId="0" applyFont="1" applyBorder="1" applyAlignment="1">
      <alignment horizontal="center"/>
    </xf>
    <xf numFmtId="0" fontId="12" fillId="13" borderId="7" xfId="0" applyFont="1" applyFill="1" applyBorder="1" applyAlignment="1">
      <alignment horizontal="center" wrapText="1"/>
    </xf>
    <xf numFmtId="0" fontId="12" fillId="13" borderId="7" xfId="0" applyFont="1" applyFill="1" applyBorder="1" applyAlignment="1">
      <alignment horizontal="center"/>
    </xf>
    <xf numFmtId="0" fontId="13" fillId="0" borderId="0" xfId="0" applyFont="1"/>
    <xf numFmtId="0" fontId="11" fillId="0" borderId="8" xfId="0" applyFont="1" applyBorder="1" applyAlignment="1">
      <alignment horizontal="center"/>
    </xf>
    <xf numFmtId="0" fontId="11" fillId="0" borderId="9" xfId="0" applyFont="1" applyBorder="1" applyAlignment="1">
      <alignment horizontal="center"/>
    </xf>
    <xf numFmtId="0" fontId="12" fillId="13" borderId="7" xfId="0" applyFont="1" applyFill="1" applyBorder="1" applyAlignment="1">
      <alignment horizontal="center" vertical="center"/>
    </xf>
    <xf numFmtId="0" fontId="14" fillId="0" borderId="0" xfId="0" applyFont="1" applyAlignment="1">
      <alignment horizontal="center"/>
    </xf>
    <xf numFmtId="0" fontId="0" fillId="0" borderId="0" xfId="0" applyAlignment="1">
      <alignment horizontal="center"/>
    </xf>
    <xf numFmtId="0" fontId="16" fillId="0" borderId="0" xfId="0" applyFont="1" applyAlignment="1">
      <alignment horizontal="center"/>
    </xf>
    <xf numFmtId="0" fontId="17" fillId="0" borderId="0" xfId="15"/>
    <xf numFmtId="0" fontId="2" fillId="10" borderId="0" xfId="2" applyFill="1" applyBorder="1" applyAlignment="1">
      <alignment horizontal="center" vertical="center"/>
    </xf>
    <xf numFmtId="0" fontId="13" fillId="0" borderId="0" xfId="0" applyFont="1" applyAlignment="1">
      <alignment horizontal="center"/>
    </xf>
    <xf numFmtId="0" fontId="19" fillId="0" borderId="0" xfId="0" applyFont="1" applyAlignment="1">
      <alignment horizontal="center"/>
    </xf>
    <xf numFmtId="0" fontId="11" fillId="0" borderId="0" xfId="0" applyFont="1" applyAlignment="1">
      <alignment wrapText="1"/>
    </xf>
    <xf numFmtId="164" fontId="11" fillId="0" borderId="0" xfId="0" applyNumberFormat="1" applyFont="1" applyAlignment="1">
      <alignment horizontal="center"/>
    </xf>
    <xf numFmtId="2" fontId="11" fillId="0" borderId="0" xfId="0" applyNumberFormat="1" applyFont="1" applyAlignment="1">
      <alignment horizontal="center"/>
    </xf>
    <xf numFmtId="0" fontId="0" fillId="0" borderId="0" xfId="0"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xf>
    <xf numFmtId="0" fontId="0" fillId="16" borderId="0" xfId="0" applyFill="1"/>
    <xf numFmtId="0" fontId="0" fillId="0" borderId="0" xfId="0" applyAlignment="1">
      <alignment horizontal="center" vertical="center"/>
    </xf>
    <xf numFmtId="0" fontId="24" fillId="0" borderId="0" xfId="0" applyFont="1"/>
    <xf numFmtId="0" fontId="24" fillId="16" borderId="0" xfId="0" applyFont="1" applyFill="1"/>
    <xf numFmtId="0" fontId="24" fillId="17" borderId="0" xfId="0" applyFont="1" applyFill="1"/>
    <xf numFmtId="0" fontId="22" fillId="17" borderId="0" xfId="0" applyFont="1" applyFill="1"/>
    <xf numFmtId="0" fontId="9" fillId="17" borderId="0" xfId="0" applyFont="1" applyFill="1"/>
    <xf numFmtId="0" fontId="0" fillId="17" borderId="0" xfId="0" applyFill="1"/>
    <xf numFmtId="0" fontId="32" fillId="15" borderId="11" xfId="0" applyFont="1" applyFill="1" applyBorder="1" applyAlignment="1">
      <alignment horizontal="center" vertical="center" wrapText="1"/>
    </xf>
    <xf numFmtId="0" fontId="1" fillId="8" borderId="11" xfId="13" applyBorder="1"/>
    <xf numFmtId="0" fontId="6" fillId="4" borderId="16" xfId="6" applyBorder="1"/>
    <xf numFmtId="0" fontId="55" fillId="0" borderId="0" xfId="0" applyFont="1"/>
    <xf numFmtId="8" fontId="55" fillId="0" borderId="0" xfId="0" applyNumberFormat="1" applyFont="1"/>
    <xf numFmtId="2" fontId="11" fillId="12" borderId="9" xfId="0" applyNumberFormat="1" applyFont="1" applyFill="1" applyBorder="1" applyAlignment="1">
      <alignment horizontal="center"/>
    </xf>
    <xf numFmtId="2" fontId="11" fillId="0" borderId="9" xfId="0" applyNumberFormat="1" applyFont="1" applyBorder="1" applyAlignment="1">
      <alignment horizontal="center"/>
    </xf>
    <xf numFmtId="0" fontId="11" fillId="12" borderId="9" xfId="0" applyFont="1" applyFill="1" applyBorder="1" applyAlignment="1">
      <alignment horizontal="center"/>
    </xf>
    <xf numFmtId="0" fontId="12" fillId="11" borderId="0" xfId="0" applyFont="1" applyFill="1" applyAlignment="1">
      <alignment horizontal="center"/>
    </xf>
    <xf numFmtId="0" fontId="12" fillId="11" borderId="0" xfId="0" applyFont="1" applyFill="1"/>
    <xf numFmtId="2" fontId="55" fillId="0" borderId="0" xfId="0" applyNumberFormat="1" applyFont="1"/>
    <xf numFmtId="165" fontId="55" fillId="0" borderId="0" xfId="0" applyNumberFormat="1" applyFont="1"/>
    <xf numFmtId="0" fontId="0" fillId="18" borderId="0" xfId="0" applyFill="1"/>
    <xf numFmtId="0" fontId="0" fillId="0" borderId="19" xfId="0" applyBorder="1"/>
    <xf numFmtId="0" fontId="56" fillId="0" borderId="20" xfId="0" applyFont="1" applyBorder="1" applyAlignment="1">
      <alignment horizontal="center"/>
    </xf>
    <xf numFmtId="0" fontId="0" fillId="19" borderId="0" xfId="0" applyFill="1"/>
    <xf numFmtId="0" fontId="24" fillId="19" borderId="0" xfId="0" applyFont="1" applyFill="1"/>
    <xf numFmtId="0" fontId="24" fillId="16" borderId="0" xfId="0" applyFont="1" applyFill="1" applyAlignment="1">
      <alignment horizontal="left" vertical="center" wrapText="1" indent="1"/>
    </xf>
    <xf numFmtId="0" fontId="47" fillId="16" borderId="0" xfId="0" applyFont="1" applyFill="1" applyAlignment="1">
      <alignment horizontal="center"/>
    </xf>
    <xf numFmtId="0" fontId="48" fillId="16" borderId="0" xfId="15" applyFont="1" applyFill="1"/>
    <xf numFmtId="0" fontId="26" fillId="16" borderId="0" xfId="0" applyFont="1" applyFill="1"/>
    <xf numFmtId="0" fontId="41" fillId="16" borderId="0" xfId="0" applyFont="1" applyFill="1"/>
    <xf numFmtId="0" fontId="45" fillId="16" borderId="0" xfId="0" applyFont="1" applyFill="1" applyAlignment="1">
      <alignment horizontal="center"/>
    </xf>
    <xf numFmtId="0" fontId="46" fillId="16" borderId="0" xfId="15" applyFont="1" applyFill="1"/>
    <xf numFmtId="0" fontId="0" fillId="20" borderId="0" xfId="0" applyFill="1"/>
    <xf numFmtId="0" fontId="24" fillId="20" borderId="0" xfId="0" applyFont="1" applyFill="1"/>
    <xf numFmtId="0" fontId="45" fillId="20" borderId="0" xfId="0" applyFont="1" applyFill="1" applyAlignment="1">
      <alignment horizontal="center"/>
    </xf>
    <xf numFmtId="0" fontId="58" fillId="20" borderId="0" xfId="15" applyFont="1" applyFill="1"/>
    <xf numFmtId="0" fontId="40" fillId="20" borderId="0" xfId="0" applyFont="1" applyFill="1"/>
    <xf numFmtId="0" fontId="45" fillId="20" borderId="0" xfId="0" applyFont="1" applyFill="1"/>
    <xf numFmtId="0" fontId="38" fillId="20" borderId="0" xfId="15" applyFont="1" applyFill="1"/>
    <xf numFmtId="0" fontId="35" fillId="18" borderId="0" xfId="0" applyFont="1" applyFill="1"/>
    <xf numFmtId="0" fontId="24" fillId="18" borderId="0" xfId="0" applyFont="1" applyFill="1"/>
    <xf numFmtId="0" fontId="45" fillId="18" borderId="0" xfId="0" applyFont="1" applyFill="1"/>
    <xf numFmtId="0" fontId="57" fillId="18" borderId="0" xfId="0" applyFont="1" applyFill="1"/>
    <xf numFmtId="0" fontId="46" fillId="18" borderId="0" xfId="15" applyFont="1" applyFill="1"/>
    <xf numFmtId="0" fontId="59" fillId="18" borderId="0" xfId="0" applyFont="1" applyFill="1"/>
    <xf numFmtId="0" fontId="34" fillId="18" borderId="0" xfId="15" applyFont="1" applyFill="1"/>
    <xf numFmtId="0" fontId="0" fillId="21" borderId="0" xfId="0" applyFill="1"/>
    <xf numFmtId="0" fontId="24" fillId="21" borderId="0" xfId="12" applyFont="1" applyFill="1"/>
    <xf numFmtId="0" fontId="24" fillId="21" borderId="0" xfId="0" applyFont="1" applyFill="1"/>
    <xf numFmtId="0" fontId="25" fillId="21" borderId="0" xfId="10" applyFont="1" applyFill="1" applyBorder="1" applyAlignment="1">
      <alignment horizontal="center" vertical="center"/>
    </xf>
    <xf numFmtId="0" fontId="17" fillId="21" borderId="0" xfId="15" applyFill="1"/>
    <xf numFmtId="0" fontId="18" fillId="21" borderId="0" xfId="16" applyFill="1"/>
    <xf numFmtId="0" fontId="0" fillId="22" borderId="0" xfId="0" applyFill="1"/>
    <xf numFmtId="0" fontId="24" fillId="22" borderId="0" xfId="0" applyFont="1" applyFill="1"/>
    <xf numFmtId="0" fontId="27" fillId="22" borderId="1" xfId="2" applyFont="1" applyFill="1" applyAlignment="1"/>
    <xf numFmtId="0" fontId="2" fillId="22" borderId="1" xfId="2" applyFill="1" applyAlignment="1"/>
    <xf numFmtId="0" fontId="21" fillId="22" borderId="0" xfId="0" applyFont="1" applyFill="1"/>
    <xf numFmtId="0" fontId="21" fillId="22" borderId="0" xfId="0" applyFont="1" applyFill="1" applyAlignment="1">
      <alignment vertical="center" wrapText="1"/>
    </xf>
    <xf numFmtId="0" fontId="23" fillId="22" borderId="0" xfId="0" applyFont="1" applyFill="1" applyAlignment="1">
      <alignment vertical="center"/>
    </xf>
    <xf numFmtId="0" fontId="29" fillId="22" borderId="0" xfId="0" applyFont="1" applyFill="1"/>
    <xf numFmtId="0" fontId="30" fillId="22" borderId="0" xfId="15" applyFont="1" applyFill="1"/>
    <xf numFmtId="0" fontId="45" fillId="22" borderId="0" xfId="0" applyFont="1" applyFill="1"/>
    <xf numFmtId="0" fontId="48" fillId="22" borderId="0" xfId="15" applyFont="1" applyFill="1"/>
    <xf numFmtId="0" fontId="45" fillId="21" borderId="0" xfId="0" applyFont="1" applyFill="1" applyAlignment="1">
      <alignment horizontal="center"/>
    </xf>
    <xf numFmtId="2" fontId="16" fillId="0" borderId="0" xfId="0" applyNumberFormat="1" applyFont="1" applyAlignment="1">
      <alignment horizontal="center"/>
    </xf>
    <xf numFmtId="2" fontId="11" fillId="14" borderId="7" xfId="0" applyNumberFormat="1" applyFont="1" applyFill="1" applyBorder="1" applyAlignment="1">
      <alignment horizontal="center"/>
    </xf>
    <xf numFmtId="2" fontId="11" fillId="0" borderId="7" xfId="0" applyNumberFormat="1" applyFont="1" applyBorder="1" applyAlignment="1">
      <alignment horizontal="center"/>
    </xf>
    <xf numFmtId="0" fontId="9" fillId="0" borderId="18" xfId="0" applyFont="1" applyBorder="1" applyAlignment="1">
      <alignment horizontal="center" vertical="center" wrapText="1"/>
    </xf>
    <xf numFmtId="0" fontId="0" fillId="0" borderId="24" xfId="0" applyBorder="1" applyAlignment="1">
      <alignment horizontal="center" vertical="center" wrapText="1"/>
    </xf>
    <xf numFmtId="0" fontId="0" fillId="0" borderId="15" xfId="0" applyBorder="1" applyAlignment="1">
      <alignment horizontal="center" vertical="center" wrapText="1"/>
    </xf>
    <xf numFmtId="164" fontId="0" fillId="0" borderId="0" xfId="0" applyNumberFormat="1"/>
    <xf numFmtId="10" fontId="0" fillId="0" borderId="0" xfId="0" applyNumberFormat="1"/>
    <xf numFmtId="10" fontId="0" fillId="0" borderId="19" xfId="0" applyNumberFormat="1" applyBorder="1"/>
    <xf numFmtId="164" fontId="0" fillId="0" borderId="19" xfId="0" applyNumberFormat="1" applyBorder="1"/>
    <xf numFmtId="2" fontId="0" fillId="0" borderId="0" xfId="0" applyNumberFormat="1" applyAlignment="1">
      <alignment horizontal="center"/>
    </xf>
    <xf numFmtId="0" fontId="0" fillId="0" borderId="0" xfId="0" applyAlignment="1">
      <alignment horizontal="left"/>
    </xf>
    <xf numFmtId="0" fontId="9" fillId="0" borderId="0" xfId="0" applyFont="1" applyAlignment="1">
      <alignment horizontal="center" vertical="center"/>
    </xf>
    <xf numFmtId="2" fontId="0" fillId="0" borderId="0" xfId="0" applyNumberFormat="1" applyAlignment="1">
      <alignment horizontal="center" vertical="center"/>
    </xf>
    <xf numFmtId="2" fontId="12" fillId="11" borderId="0" xfId="0" applyNumberFormat="1" applyFont="1" applyFill="1" applyAlignment="1">
      <alignment horizontal="center"/>
    </xf>
    <xf numFmtId="0" fontId="5" fillId="2" borderId="0" xfId="5" applyAlignment="1">
      <alignment horizontal="center"/>
    </xf>
    <xf numFmtId="0" fontId="43" fillId="16" borderId="11" xfId="0" applyFont="1" applyFill="1" applyBorder="1" applyAlignment="1">
      <alignment horizontal="center" vertical="center" wrapText="1"/>
    </xf>
    <xf numFmtId="0" fontId="44" fillId="16" borderId="11" xfId="0" applyFont="1" applyFill="1" applyBorder="1" applyAlignment="1">
      <alignment horizontal="center" vertical="center" wrapText="1"/>
    </xf>
    <xf numFmtId="0" fontId="45" fillId="22" borderId="11" xfId="11" applyFont="1" applyFill="1" applyBorder="1" applyAlignment="1">
      <alignment horizontal="center" vertical="center"/>
    </xf>
    <xf numFmtId="0" fontId="53" fillId="21" borderId="11" xfId="11" applyFont="1" applyFill="1" applyBorder="1" applyAlignment="1">
      <alignment horizontal="center" vertical="center"/>
    </xf>
    <xf numFmtId="0" fontId="61" fillId="21" borderId="11" xfId="11" applyFont="1" applyFill="1" applyBorder="1" applyAlignment="1">
      <alignment horizontal="center" vertical="center"/>
    </xf>
    <xf numFmtId="0" fontId="39" fillId="21" borderId="11" xfId="11" applyFont="1" applyFill="1" applyBorder="1" applyAlignment="1">
      <alignment horizontal="center" vertical="center"/>
    </xf>
    <xf numFmtId="0" fontId="25" fillId="21" borderId="11" xfId="10" applyFont="1" applyFill="1" applyBorder="1" applyAlignment="1">
      <alignment horizontal="center" vertical="center"/>
    </xf>
    <xf numFmtId="0" fontId="0" fillId="21" borderId="11" xfId="0" applyFill="1" applyBorder="1"/>
    <xf numFmtId="0" fontId="6" fillId="4" borderId="4" xfId="6"/>
    <xf numFmtId="8" fontId="0" fillId="0" borderId="0" xfId="0" applyNumberFormat="1" applyAlignment="1">
      <alignment horizontal="center"/>
    </xf>
    <xf numFmtId="2" fontId="0" fillId="0" borderId="0" xfId="1" applyNumberFormat="1" applyFont="1"/>
    <xf numFmtId="2" fontId="0" fillId="0" borderId="0" xfId="1" applyNumberFormat="1" applyFont="1" applyAlignment="1">
      <alignment horizontal="center"/>
    </xf>
    <xf numFmtId="0" fontId="7" fillId="25" borderId="0" xfId="7" applyFill="1" applyAlignment="1">
      <alignment horizontal="center"/>
    </xf>
    <xf numFmtId="0" fontId="7" fillId="25" borderId="7" xfId="7" applyFill="1" applyBorder="1" applyAlignment="1">
      <alignment horizontal="center" wrapText="1"/>
    </xf>
    <xf numFmtId="0" fontId="7" fillId="25" borderId="7" xfId="7" applyFill="1" applyBorder="1" applyAlignment="1">
      <alignment horizontal="center" vertical="center"/>
    </xf>
    <xf numFmtId="0" fontId="7" fillId="25" borderId="0" xfId="7" applyFill="1"/>
    <xf numFmtId="0" fontId="7" fillId="25" borderId="7" xfId="7" applyFill="1" applyBorder="1" applyAlignment="1">
      <alignment horizontal="center"/>
    </xf>
    <xf numFmtId="2" fontId="7" fillId="25" borderId="0" xfId="7" applyNumberFormat="1" applyFill="1" applyAlignment="1">
      <alignment horizontal="center"/>
    </xf>
    <xf numFmtId="0" fontId="7" fillId="25" borderId="8" xfId="7" applyFill="1" applyBorder="1" applyAlignment="1">
      <alignment horizontal="center"/>
    </xf>
    <xf numFmtId="2" fontId="7" fillId="25" borderId="26" xfId="7" applyNumberFormat="1" applyFill="1" applyBorder="1" applyAlignment="1">
      <alignment horizontal="center"/>
    </xf>
    <xf numFmtId="2" fontId="7" fillId="25" borderId="7" xfId="7" applyNumberFormat="1" applyFill="1" applyBorder="1" applyAlignment="1">
      <alignment horizontal="center"/>
    </xf>
    <xf numFmtId="2" fontId="7" fillId="25" borderId="27" xfId="7" applyNumberFormat="1" applyFill="1" applyBorder="1" applyAlignment="1">
      <alignment horizontal="center"/>
    </xf>
    <xf numFmtId="0" fontId="62" fillId="3" borderId="0" xfId="17" applyAlignment="1">
      <alignment horizontal="center"/>
    </xf>
    <xf numFmtId="0" fontId="62" fillId="3" borderId="0" xfId="17"/>
    <xf numFmtId="164" fontId="62" fillId="3" borderId="0" xfId="17" applyNumberFormat="1" applyAlignment="1">
      <alignment horizontal="center"/>
    </xf>
    <xf numFmtId="0" fontId="14" fillId="0" borderId="0" xfId="0" applyFont="1"/>
    <xf numFmtId="0" fontId="14" fillId="0" borderId="19" xfId="0" applyFont="1" applyBorder="1"/>
    <xf numFmtId="0" fontId="66" fillId="0" borderId="20" xfId="0" applyFont="1" applyBorder="1" applyAlignment="1">
      <alignment horizontal="center"/>
    </xf>
    <xf numFmtId="0" fontId="21" fillId="0" borderId="0" xfId="0" applyFont="1"/>
    <xf numFmtId="0" fontId="21" fillId="0" borderId="0" xfId="0" applyFont="1" applyAlignment="1">
      <alignment horizontal="center"/>
    </xf>
    <xf numFmtId="0" fontId="5" fillId="2" borderId="0" xfId="5"/>
    <xf numFmtId="0" fontId="67" fillId="25" borderId="20" xfId="18" applyFont="1" applyBorder="1" applyAlignment="1">
      <alignment horizontal="centerContinuous"/>
    </xf>
    <xf numFmtId="0" fontId="67" fillId="25" borderId="0" xfId="18" applyFont="1" applyBorder="1" applyAlignment="1"/>
    <xf numFmtId="0" fontId="67" fillId="25" borderId="19" xfId="18" applyFont="1" applyBorder="1" applyAlignment="1"/>
    <xf numFmtId="0" fontId="68" fillId="2" borderId="0" xfId="5" applyFont="1"/>
    <xf numFmtId="0" fontId="65" fillId="26" borderId="25" xfId="19" applyFont="1" applyAlignment="1">
      <alignment horizontal="center"/>
    </xf>
    <xf numFmtId="0" fontId="67" fillId="25" borderId="20" xfId="18" applyFont="1" applyBorder="1" applyAlignment="1">
      <alignment horizontal="center"/>
    </xf>
    <xf numFmtId="0" fontId="67" fillId="25" borderId="11" xfId="18" applyFont="1" applyBorder="1" applyAlignment="1">
      <alignment horizontal="center"/>
    </xf>
    <xf numFmtId="0" fontId="14" fillId="0" borderId="11" xfId="0" applyFont="1" applyBorder="1"/>
    <xf numFmtId="2" fontId="14" fillId="0" borderId="0" xfId="0" applyNumberFormat="1" applyFont="1"/>
    <xf numFmtId="2" fontId="14" fillId="0" borderId="19" xfId="0" applyNumberFormat="1" applyFont="1" applyBorder="1"/>
    <xf numFmtId="10" fontId="0" fillId="0" borderId="0" xfId="0" applyNumberFormat="1" applyAlignment="1">
      <alignment horizontal="center"/>
    </xf>
    <xf numFmtId="0" fontId="0" fillId="0" borderId="0" xfId="0" applyAlignment="1">
      <alignment horizontal="center"/>
    </xf>
    <xf numFmtId="0" fontId="2" fillId="7" borderId="0" xfId="2" applyFill="1" applyBorder="1" applyAlignment="1">
      <alignment horizontal="center" vertical="center"/>
    </xf>
    <xf numFmtId="0" fontId="2" fillId="3" borderId="1" xfId="2" applyFill="1" applyAlignment="1">
      <alignment horizontal="center" vertical="center"/>
    </xf>
    <xf numFmtId="0" fontId="1" fillId="8" borderId="11" xfId="13" applyBorder="1" applyAlignment="1">
      <alignment horizontal="center"/>
    </xf>
    <xf numFmtId="0" fontId="1" fillId="9" borderId="11" xfId="14" applyBorder="1" applyAlignment="1">
      <alignment horizontal="center"/>
    </xf>
    <xf numFmtId="0" fontId="1" fillId="9" borderId="11" xfId="14" applyBorder="1" applyAlignment="1">
      <alignment horizontal="center" vertical="center"/>
    </xf>
    <xf numFmtId="0" fontId="40" fillId="17" borderId="0" xfId="0" applyFont="1" applyFill="1" applyAlignment="1">
      <alignment horizontal="center"/>
    </xf>
    <xf numFmtId="0" fontId="60" fillId="23" borderId="1" xfId="7" applyFont="1" applyFill="1" applyBorder="1" applyAlignment="1">
      <alignment horizontal="center" vertical="center"/>
    </xf>
    <xf numFmtId="0" fontId="49" fillId="22" borderId="0" xfId="0" applyFont="1" applyFill="1" applyAlignment="1">
      <alignment horizontal="center" vertical="center" wrapText="1"/>
    </xf>
    <xf numFmtId="0" fontId="35" fillId="16" borderId="0" xfId="0" applyFont="1" applyFill="1" applyAlignment="1">
      <alignment horizontal="center" vertical="center" wrapText="1"/>
    </xf>
    <xf numFmtId="0" fontId="37" fillId="16" borderId="11" xfId="11" applyFont="1" applyFill="1" applyBorder="1" applyAlignment="1">
      <alignment horizontal="center" vertical="center"/>
    </xf>
    <xf numFmtId="0" fontId="24" fillId="16" borderId="0" xfId="0" applyFont="1" applyFill="1" applyAlignment="1">
      <alignment horizontal="center" vertical="center"/>
    </xf>
    <xf numFmtId="0" fontId="27" fillId="16" borderId="2" xfId="3" applyFont="1" applyFill="1" applyAlignment="1">
      <alignment horizontal="center"/>
    </xf>
    <xf numFmtId="0" fontId="23" fillId="22" borderId="11" xfId="0" applyFont="1" applyFill="1" applyBorder="1" applyAlignment="1">
      <alignment horizontal="center" vertical="center" wrapText="1"/>
    </xf>
    <xf numFmtId="0" fontId="30" fillId="22" borderId="0" xfId="15" applyFont="1" applyFill="1" applyAlignment="1">
      <alignment horizontal="center" vertical="center" wrapText="1"/>
    </xf>
    <xf numFmtId="0" fontId="32" fillId="22" borderId="11" xfId="0" applyFont="1" applyFill="1" applyBorder="1" applyAlignment="1">
      <alignment horizontal="center" vertical="center" wrapText="1"/>
    </xf>
    <xf numFmtId="0" fontId="50" fillId="22" borderId="11" xfId="0" applyFont="1" applyFill="1" applyBorder="1" applyAlignment="1">
      <alignment horizontal="center" vertical="center" wrapText="1"/>
    </xf>
    <xf numFmtId="0" fontId="51" fillId="22" borderId="0" xfId="0" applyFont="1" applyFill="1" applyAlignment="1">
      <alignment horizontal="center" vertical="center" wrapText="1"/>
    </xf>
    <xf numFmtId="0" fontId="23" fillId="22" borderId="15" xfId="0" applyFont="1" applyFill="1" applyBorder="1" applyAlignment="1">
      <alignment horizontal="center" vertical="center" wrapText="1"/>
    </xf>
    <xf numFmtId="0" fontId="52" fillId="21" borderId="2" xfId="3" applyFont="1" applyFill="1" applyAlignment="1">
      <alignment horizontal="center"/>
    </xf>
    <xf numFmtId="0" fontId="55" fillId="21" borderId="6" xfId="10" applyFont="1" applyFill="1" applyAlignment="1">
      <alignment horizontal="center"/>
    </xf>
    <xf numFmtId="0" fontId="25" fillId="16" borderId="11" xfId="10" applyFont="1" applyFill="1" applyBorder="1" applyAlignment="1">
      <alignment horizontal="center" vertical="center"/>
    </xf>
    <xf numFmtId="0" fontId="40" fillId="16" borderId="0" xfId="13" applyFont="1" applyFill="1" applyAlignment="1">
      <alignment horizontal="center"/>
    </xf>
    <xf numFmtId="0" fontId="42" fillId="16" borderId="11" xfId="0" applyFont="1" applyFill="1" applyBorder="1" applyAlignment="1">
      <alignment horizontal="center" vertical="center" wrapText="1"/>
    </xf>
    <xf numFmtId="0" fontId="44" fillId="16" borderId="11" xfId="0" applyFont="1" applyFill="1" applyBorder="1" applyAlignment="1">
      <alignment horizontal="center" vertical="center" wrapText="1"/>
    </xf>
    <xf numFmtId="0" fontId="24" fillId="20" borderId="11" xfId="0" applyFont="1" applyFill="1" applyBorder="1" applyAlignment="1">
      <alignment horizontal="center" vertical="center" wrapText="1"/>
    </xf>
    <xf numFmtId="0" fontId="25" fillId="20" borderId="11" xfId="0" applyFont="1" applyFill="1" applyBorder="1" applyAlignment="1">
      <alignment horizontal="center" vertical="center" wrapText="1"/>
    </xf>
    <xf numFmtId="0" fontId="54" fillId="22" borderId="17" xfId="9" applyFont="1" applyFill="1" applyBorder="1" applyAlignment="1">
      <alignment horizontal="center" vertical="center" wrapText="1"/>
    </xf>
    <xf numFmtId="0" fontId="28" fillId="20" borderId="1" xfId="2" applyFont="1" applyFill="1" applyAlignment="1">
      <alignment horizontal="center" vertical="center"/>
    </xf>
    <xf numFmtId="0" fontId="31" fillId="20" borderId="12" xfId="0" applyFont="1" applyFill="1" applyBorder="1" applyAlignment="1">
      <alignment horizontal="center"/>
    </xf>
    <xf numFmtId="0" fontId="31" fillId="20" borderId="13" xfId="0" applyFont="1" applyFill="1" applyBorder="1" applyAlignment="1">
      <alignment horizontal="center"/>
    </xf>
    <xf numFmtId="0" fontId="31" fillId="20" borderId="14" xfId="0" applyFont="1" applyFill="1" applyBorder="1" applyAlignment="1">
      <alignment horizontal="center"/>
    </xf>
    <xf numFmtId="0" fontId="52" fillId="18" borderId="2" xfId="3" applyFont="1" applyFill="1" applyAlignment="1">
      <alignment horizontal="center"/>
    </xf>
    <xf numFmtId="0" fontId="41" fillId="20" borderId="0" xfId="0" applyFont="1" applyFill="1" applyAlignment="1">
      <alignment horizontal="center" vertical="center"/>
    </xf>
    <xf numFmtId="0" fontId="45" fillId="20" borderId="11" xfId="0" applyFont="1" applyFill="1" applyBorder="1" applyAlignment="1">
      <alignment horizontal="center" vertical="center"/>
    </xf>
    <xf numFmtId="0" fontId="40" fillId="20" borderId="11" xfId="0" applyFont="1" applyFill="1" applyBorder="1" applyAlignment="1">
      <alignment horizontal="center" vertical="center"/>
    </xf>
    <xf numFmtId="0" fontId="33" fillId="21" borderId="11" xfId="4" applyFont="1" applyFill="1" applyBorder="1" applyAlignment="1">
      <alignment horizontal="center"/>
    </xf>
    <xf numFmtId="0" fontId="25" fillId="21" borderId="11" xfId="8" applyFont="1" applyFill="1" applyBorder="1" applyAlignment="1">
      <alignment horizontal="center"/>
    </xf>
    <xf numFmtId="0" fontId="40" fillId="20" borderId="0" xfId="0" applyFont="1" applyFill="1" applyAlignment="1">
      <alignment horizontal="center" vertical="center"/>
    </xf>
    <xf numFmtId="0" fontId="9" fillId="0" borderId="12"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10" xfId="0" applyFont="1" applyBorder="1" applyAlignment="1">
      <alignment horizontal="center" vertical="center" wrapText="1"/>
    </xf>
    <xf numFmtId="0" fontId="0" fillId="0" borderId="12" xfId="0" applyBorder="1" applyAlignment="1">
      <alignment horizontal="center" vertical="center" wrapText="1"/>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21" xfId="0" applyBorder="1" applyAlignment="1">
      <alignment horizontal="center" vertical="center" wrapText="1"/>
    </xf>
    <xf numFmtId="0" fontId="2" fillId="0" borderId="0" xfId="2" applyBorder="1" applyAlignment="1">
      <alignment horizontal="center"/>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9" fillId="0" borderId="23" xfId="0" applyFont="1" applyBorder="1" applyAlignment="1">
      <alignment horizontal="center" vertical="center" wrapText="1"/>
    </xf>
    <xf numFmtId="0" fontId="2" fillId="0" borderId="1" xfId="2" applyAlignment="1">
      <alignment horizontal="center"/>
    </xf>
    <xf numFmtId="0" fontId="62" fillId="3" borderId="0" xfId="17" applyBorder="1" applyAlignment="1">
      <alignment horizontal="left"/>
    </xf>
    <xf numFmtId="0" fontId="5" fillId="2" borderId="0" xfId="5" applyAlignment="1">
      <alignment horizontal="center"/>
    </xf>
    <xf numFmtId="0" fontId="0" fillId="0" borderId="0" xfId="0"/>
    <xf numFmtId="2" fontId="0" fillId="0" borderId="0" xfId="0" applyNumberFormat="1"/>
    <xf numFmtId="0" fontId="9" fillId="27" borderId="0" xfId="0" applyFont="1" applyFill="1"/>
    <xf numFmtId="0" fontId="0" fillId="27" borderId="0" xfId="0" applyFill="1"/>
    <xf numFmtId="0" fontId="9" fillId="27" borderId="0" xfId="0" applyFont="1" applyFill="1" applyAlignment="1">
      <alignment horizontal="center"/>
    </xf>
    <xf numFmtId="2" fontId="0" fillId="27" borderId="0" xfId="0" applyNumberFormat="1" applyFill="1" applyAlignment="1">
      <alignment horizontal="center"/>
    </xf>
    <xf numFmtId="0" fontId="0" fillId="27" borderId="0" xfId="0" applyFill="1" applyAlignment="1">
      <alignment horizontal="center"/>
    </xf>
    <xf numFmtId="0" fontId="9" fillId="28" borderId="0" xfId="0" applyFont="1" applyFill="1"/>
    <xf numFmtId="0" fontId="0" fillId="28" borderId="0" xfId="0" applyFill="1"/>
    <xf numFmtId="0" fontId="9" fillId="28" borderId="0" xfId="0" applyFont="1" applyFill="1" applyAlignment="1">
      <alignment horizontal="center"/>
    </xf>
    <xf numFmtId="0" fontId="69" fillId="29" borderId="0" xfId="0" applyFont="1" applyFill="1" applyAlignment="1">
      <alignment vertical="center"/>
    </xf>
    <xf numFmtId="0" fontId="0" fillId="29" borderId="0" xfId="0" applyFill="1"/>
    <xf numFmtId="0" fontId="9" fillId="22" borderId="0" xfId="0" applyFont="1" applyFill="1"/>
    <xf numFmtId="0" fontId="9" fillId="22" borderId="0" xfId="0" applyFont="1" applyFill="1" applyAlignment="1">
      <alignment horizontal="center"/>
    </xf>
    <xf numFmtId="0" fontId="9" fillId="30" borderId="0" xfId="0" applyFont="1" applyFill="1"/>
    <xf numFmtId="0" fontId="0" fillId="30" borderId="0" xfId="0" applyFill="1"/>
    <xf numFmtId="0" fontId="9" fillId="30" borderId="0" xfId="0" applyFont="1" applyFill="1" applyAlignment="1">
      <alignment horizontal="center"/>
    </xf>
    <xf numFmtId="2" fontId="0" fillId="30" borderId="0" xfId="0" applyNumberFormat="1" applyFill="1" applyAlignment="1">
      <alignment horizontal="center"/>
    </xf>
    <xf numFmtId="0" fontId="0" fillId="30" borderId="0" xfId="0" applyFill="1" applyAlignment="1">
      <alignment horizontal="center"/>
    </xf>
    <xf numFmtId="0" fontId="69" fillId="31" borderId="0" xfId="0" applyFont="1" applyFill="1" applyAlignment="1">
      <alignment vertical="center"/>
    </xf>
    <xf numFmtId="0" fontId="0" fillId="31" borderId="0" xfId="0" applyFill="1"/>
    <xf numFmtId="0" fontId="9" fillId="31" borderId="0" xfId="0" applyFont="1" applyFill="1" applyAlignment="1">
      <alignment horizontal="center"/>
    </xf>
    <xf numFmtId="0" fontId="69" fillId="24" borderId="0" xfId="0" applyFont="1" applyFill="1" applyAlignment="1">
      <alignment vertical="center"/>
    </xf>
    <xf numFmtId="0" fontId="0" fillId="24" borderId="0" xfId="0" applyFill="1"/>
    <xf numFmtId="0" fontId="9" fillId="32" borderId="0" xfId="0" applyFont="1" applyFill="1"/>
    <xf numFmtId="0" fontId="0" fillId="32" borderId="0" xfId="0" applyFill="1"/>
    <xf numFmtId="0" fontId="9" fillId="32" borderId="0" xfId="0" applyFont="1" applyFill="1" applyAlignment="1">
      <alignment horizontal="center"/>
    </xf>
    <xf numFmtId="2" fontId="0" fillId="32" borderId="0" xfId="0" applyNumberFormat="1" applyFill="1" applyAlignment="1">
      <alignment horizontal="center"/>
    </xf>
    <xf numFmtId="0" fontId="0" fillId="32" borderId="0" xfId="0" applyFill="1" applyAlignment="1">
      <alignment horizontal="center"/>
    </xf>
    <xf numFmtId="0" fontId="63" fillId="25" borderId="0" xfId="18"/>
    <xf numFmtId="0" fontId="63" fillId="25" borderId="0" xfId="18" applyAlignment="1">
      <alignment horizontal="center"/>
    </xf>
    <xf numFmtId="2" fontId="63" fillId="25" borderId="0" xfId="18" applyNumberFormat="1" applyAlignment="1">
      <alignment horizontal="center"/>
    </xf>
    <xf numFmtId="0" fontId="0" fillId="33" borderId="0" xfId="0" applyFill="1"/>
    <xf numFmtId="0" fontId="9" fillId="33" borderId="0" xfId="0" applyFont="1" applyFill="1" applyAlignment="1">
      <alignment horizontal="center"/>
    </xf>
    <xf numFmtId="2" fontId="0" fillId="33" borderId="0" xfId="0" applyNumberFormat="1" applyFill="1" applyAlignment="1">
      <alignment horizontal="center"/>
    </xf>
    <xf numFmtId="0" fontId="0" fillId="33" borderId="0" xfId="0" applyFill="1" applyAlignment="1">
      <alignment horizontal="center"/>
    </xf>
    <xf numFmtId="0" fontId="2" fillId="33" borderId="1" xfId="2" applyFill="1" applyAlignment="1">
      <alignment horizontal="center"/>
    </xf>
  </cellXfs>
  <cellStyles count="20">
    <cellStyle name="20% - Accent3" xfId="13" builtinId="38"/>
    <cellStyle name="40% - Accent3" xfId="14" builtinId="39"/>
    <cellStyle name="60% - Accent2" xfId="12" builtinId="36"/>
    <cellStyle name="Accent1" xfId="11" builtinId="29"/>
    <cellStyle name="Bad" xfId="5" builtinId="27"/>
    <cellStyle name="Check Cell" xfId="19" builtinId="23"/>
    <cellStyle name="Explanatory Text" xfId="9" builtinId="53"/>
    <cellStyle name="Followed Hyperlink" xfId="16" builtinId="9"/>
    <cellStyle name="Good" xfId="18" builtinId="26"/>
    <cellStyle name="Heading 1" xfId="2" builtinId="16"/>
    <cellStyle name="Heading 2" xfId="3" builtinId="17"/>
    <cellStyle name="Heading 3" xfId="4" builtinId="18"/>
    <cellStyle name="Hyperlink" xfId="15" builtinId="8"/>
    <cellStyle name="Neutral" xfId="17" builtinId="28"/>
    <cellStyle name="Normal" xfId="0" builtinId="0"/>
    <cellStyle name="Note" xfId="8" builtinId="10"/>
    <cellStyle name="Output" xfId="6" builtinId="21"/>
    <cellStyle name="Percent" xfId="1" builtinId="5"/>
    <cellStyle name="Total" xfId="10" builtinId="25"/>
    <cellStyle name="Warning Text" xfId="7" builtinId="11"/>
  </cellStyles>
  <dxfs count="75">
    <dxf>
      <numFmt numFmtId="2" formatCode="0.00"/>
    </dxf>
    <dxf>
      <numFmt numFmtId="2" formatCode="0.00"/>
    </dxf>
    <dxf>
      <numFmt numFmtId="2" formatCode="0.00"/>
    </dxf>
    <dxf>
      <numFmt numFmtId="2" formatCode="0.00"/>
    </dxf>
    <dxf>
      <numFmt numFmtId="2" formatCode="0.00"/>
    </dxf>
    <dxf>
      <numFmt numFmtId="2" formatCode="0.00"/>
      <alignment horizontal="center" vertical="bottom" textRotation="0" wrapText="0" indent="0" justifyLastLine="0" shrinkToFit="0" readingOrder="0"/>
      <border diagonalUp="0" diagonalDown="0">
        <left/>
        <right/>
        <top style="thin">
          <color theme="7" tint="0.39997558519241921"/>
        </top>
        <bottom style="thin">
          <color theme="7" tint="0.39997558519241921"/>
        </bottom>
      </border>
    </dxf>
    <dxf>
      <alignment horizontal="center" vertical="bottom" textRotation="0" wrapText="0" indent="0" justifyLastLine="0" shrinkToFit="0" readingOrder="0"/>
      <border diagonalUp="0" diagonalDown="0">
        <left/>
        <right/>
        <top style="thin">
          <color theme="7" tint="0.39997558519241921"/>
        </top>
        <bottom style="thin">
          <color theme="7" tint="0.39997558519241921"/>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top style="thin">
          <color theme="7" tint="0.39997558519241921"/>
        </top>
        <bottom style="thin">
          <color theme="7" tint="0.39997558519241921"/>
        </bottom>
      </border>
    </dxf>
    <dxf>
      <alignment horizontal="center" vertical="bottom" textRotation="0" wrapText="0" indent="0" justifyLastLine="0" shrinkToFit="0" readingOrder="0"/>
      <border diagonalUp="0" diagonalDown="0">
        <left/>
        <right/>
        <top style="thin">
          <color theme="7" tint="0.39997558519241921"/>
        </top>
        <bottom style="thin">
          <color theme="7" tint="0.39997558519241921"/>
        </bottom>
      </border>
    </dxf>
    <dxf>
      <alignment horizontal="center" vertical="bottom" textRotation="0" wrapText="0" indent="0" justifyLastLine="0" shrinkToFit="0" readingOrder="0"/>
      <border diagonalUp="0" diagonalDown="0">
        <left/>
        <right/>
        <top style="thin">
          <color theme="5" tint="0.39997558519241921"/>
        </top>
        <bottom style="thin">
          <color theme="5" tint="0.39997558519241921"/>
        </bottom>
      </border>
    </dxf>
    <dxf>
      <border outline="0">
        <left style="thin">
          <color theme="5" tint="0.39997558519241921"/>
        </left>
      </border>
    </dxf>
    <dxf>
      <alignment horizontal="center" vertical="bottom" textRotation="0" wrapText="0" indent="0" justifyLastLine="0" shrinkToFit="0" readingOrder="0"/>
    </dxf>
    <dxf>
      <numFmt numFmtId="164" formatCode="0.000"/>
      <alignment horizontal="center" vertical="bottom" textRotation="0" wrapText="0" indent="0" justifyLastLine="0" shrinkToFit="0" readingOrder="0"/>
    </dxf>
    <dxf>
      <numFmt numFmtId="164" formatCode="0.000"/>
      <alignment horizontal="center" vertical="bottom" textRotation="0" wrapText="0" indent="0" justifyLastLine="0" shrinkToFit="0" readingOrder="0"/>
    </dxf>
    <dxf>
      <numFmt numFmtId="164" formatCode="0.000"/>
      <alignment horizontal="center" vertical="bottom" textRotation="0" wrapText="0" indent="0" justifyLastLine="0" shrinkToFit="0" readingOrder="0"/>
    </dxf>
    <dxf>
      <numFmt numFmtId="164" formatCode="0.000"/>
      <alignment horizontal="center" vertical="bottom" textRotation="0" wrapText="0" indent="0" justifyLastLine="0" shrinkToFit="0" readingOrder="0"/>
    </dxf>
    <dxf>
      <numFmt numFmtId="164" formatCode="0.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none"/>
      </font>
      <alignment horizontal="center" vertical="bottom" textRotation="0" wrapText="0" indent="0" justifyLastLine="0" shrinkToFit="0" readingOrder="0"/>
      <border diagonalUp="0" diagonalDown="0" outline="0">
        <left/>
        <right/>
        <top style="thin">
          <color theme="7" tint="0.39997558519241921"/>
        </top>
        <bottom style="thin">
          <color theme="7" tint="0.39997558519241921"/>
        </bottom>
      </border>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none"/>
      </font>
      <alignment horizontal="center" vertical="bottom" textRotation="0" wrapText="0" indent="0" justifyLastLine="0" shrinkToFit="0" readingOrder="0"/>
      <border diagonalUp="0" diagonalDown="0" outline="0">
        <left/>
        <right/>
        <top style="thin">
          <color theme="7" tint="0.39997558519241921"/>
        </top>
        <bottom style="thin">
          <color theme="7" tint="0.39997558519241921"/>
        </bottom>
      </border>
    </dxf>
    <dxf>
      <font>
        <b val="0"/>
        <i val="0"/>
        <strike val="0"/>
        <condense val="0"/>
        <extend val="0"/>
        <outline val="0"/>
        <shadow val="0"/>
        <u val="none"/>
        <vertAlign val="baseline"/>
        <sz val="11"/>
        <color rgb="FF000000"/>
        <name val="Aptos Narrow"/>
        <family val="2"/>
        <scheme val="none"/>
      </font>
      <alignment horizontal="center" vertical="bottom" textRotation="0" wrapText="0" indent="0" justifyLastLine="0" shrinkToFit="0" readingOrder="0"/>
      <border diagonalUp="0" diagonalDown="0" outline="0">
        <left/>
        <right/>
        <top style="thin">
          <color theme="7" tint="0.39997558519241921"/>
        </top>
        <bottom style="thin">
          <color theme="7" tint="0.39997558519241921"/>
        </bottom>
      </border>
    </dxf>
    <dxf>
      <font>
        <b val="0"/>
        <i val="0"/>
        <strike val="0"/>
        <condense val="0"/>
        <extend val="0"/>
        <outline val="0"/>
        <shadow val="0"/>
        <u val="none"/>
        <vertAlign val="baseline"/>
        <sz val="11"/>
        <color rgb="FF000000"/>
        <name val="Aptos Narrow"/>
        <family val="2"/>
        <scheme val="none"/>
      </font>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border outline="0">
        <left style="thin">
          <color theme="5" tint="0.39997558519241921"/>
        </left>
      </border>
    </dxf>
    <dxf>
      <font>
        <b val="0"/>
        <i val="0"/>
        <strike val="0"/>
        <condense val="0"/>
        <extend val="0"/>
        <outline val="0"/>
        <shadow val="0"/>
        <u val="none"/>
        <vertAlign val="baseline"/>
        <sz val="11"/>
        <color rgb="FF000000"/>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none"/>
      </font>
      <numFmt numFmtId="2" formatCode="0.00"/>
      <alignment horizontal="center" vertical="bottom" textRotation="0" wrapText="0" indent="0" justifyLastLine="0" shrinkToFit="0" readingOrder="0"/>
      <border diagonalUp="0" diagonalDown="0" outline="0">
        <left/>
        <right/>
        <top style="thin">
          <color theme="5" tint="0.39997558519241921"/>
        </top>
        <bottom/>
      </border>
    </dxf>
    <dxf>
      <font>
        <b val="0"/>
        <i val="0"/>
        <strike val="0"/>
        <condense val="0"/>
        <extend val="0"/>
        <outline val="0"/>
        <shadow val="0"/>
        <u val="none"/>
        <vertAlign val="baseline"/>
        <sz val="11"/>
        <color rgb="FF000000"/>
        <name val="Aptos Narrow"/>
        <family val="2"/>
        <scheme val="none"/>
      </font>
      <numFmt numFmtId="2" formatCode="0.00"/>
      <alignment horizontal="center" vertical="bottom" textRotation="0" wrapText="0" indent="0" justifyLastLine="0" shrinkToFit="0" readingOrder="0"/>
      <border diagonalUp="0" diagonalDown="0" outline="0">
        <left/>
        <right/>
        <top style="thin">
          <color theme="5" tint="0.39997558519241921"/>
        </top>
        <bottom/>
      </border>
    </dxf>
    <dxf>
      <font>
        <b val="0"/>
        <i val="0"/>
        <strike val="0"/>
        <condense val="0"/>
        <extend val="0"/>
        <outline val="0"/>
        <shadow val="0"/>
        <u val="none"/>
        <vertAlign val="baseline"/>
        <sz val="11"/>
        <color rgb="FF000000"/>
        <name val="Aptos Narrow"/>
        <family val="2"/>
        <scheme val="none"/>
      </font>
      <numFmt numFmtId="2" formatCode="0.00"/>
      <alignment horizontal="center" vertical="bottom" textRotation="0" wrapText="0" indent="0" justifyLastLine="0" shrinkToFit="0" readingOrder="0"/>
      <border diagonalUp="0" diagonalDown="0" outline="0">
        <left/>
        <right/>
        <top style="thin">
          <color theme="5" tint="0.39997558519241921"/>
        </top>
        <bottom/>
      </border>
    </dxf>
    <dxf>
      <font>
        <b val="0"/>
        <i val="0"/>
        <strike val="0"/>
        <condense val="0"/>
        <extend val="0"/>
        <outline val="0"/>
        <shadow val="0"/>
        <u val="none"/>
        <vertAlign val="baseline"/>
        <sz val="11"/>
        <color rgb="FF000000"/>
        <name val="Aptos Narrow"/>
        <family val="2"/>
        <scheme val="none"/>
      </font>
      <numFmt numFmtId="2" formatCode="0.00"/>
      <alignment horizontal="center" vertical="bottom" textRotation="0" wrapText="0" indent="0" justifyLastLine="0" shrinkToFit="0" readingOrder="0"/>
      <border diagonalUp="0" diagonalDown="0">
        <left/>
        <right/>
        <top style="thin">
          <color theme="5" tint="0.39997558519241921"/>
        </top>
        <bottom/>
        <vertical/>
        <horizontal/>
      </border>
    </dxf>
    <dxf>
      <font>
        <b val="0"/>
        <i val="0"/>
        <strike val="0"/>
        <condense val="0"/>
        <extend val="0"/>
        <outline val="0"/>
        <shadow val="0"/>
        <u val="none"/>
        <vertAlign val="baseline"/>
        <sz val="11"/>
        <color rgb="FF000000"/>
        <name val="Aptos Narrow"/>
        <family val="2"/>
        <scheme val="none"/>
      </font>
      <numFmt numFmtId="2" formatCode="0.00"/>
      <alignment horizontal="center" vertical="bottom" textRotation="0" wrapText="0" indent="0" justifyLastLine="0" shrinkToFit="0" readingOrder="0"/>
      <border diagonalUp="0" diagonalDown="0">
        <left/>
        <right/>
        <top style="thin">
          <color theme="5" tint="0.39997558519241921"/>
        </top>
        <bottom/>
        <vertical/>
        <horizontal/>
      </border>
    </dxf>
    <dxf>
      <font>
        <b val="0"/>
        <i val="0"/>
        <strike val="0"/>
        <condense val="0"/>
        <extend val="0"/>
        <outline val="0"/>
        <shadow val="0"/>
        <u val="none"/>
        <vertAlign val="baseline"/>
        <sz val="11"/>
        <color rgb="FF000000"/>
        <name val="Aptos Narrow"/>
        <family val="2"/>
        <scheme val="none"/>
      </font>
      <alignment horizontal="center" vertical="bottom" textRotation="0" wrapText="0" indent="0" justifyLastLine="0" shrinkToFit="0" readingOrder="0"/>
      <border diagonalUp="0" diagonalDown="0">
        <left/>
        <right/>
        <top style="thin">
          <color theme="5" tint="0.39997558519241921"/>
        </top>
        <bottom/>
        <vertical/>
        <horizontal/>
      </border>
    </dxf>
    <dxf>
      <border outline="0">
        <left style="thin">
          <color theme="5" tint="0.39997558519241921"/>
        </left>
        <right style="thin">
          <color theme="5" tint="0.39997558519241921"/>
        </right>
        <top style="thin">
          <color theme="5" tint="0.39997558519241921"/>
        </top>
        <bottom style="thin">
          <color theme="5" tint="0.39997558519241921"/>
        </bottom>
      </border>
    </dxf>
    <dxf>
      <font>
        <b val="0"/>
        <i val="0"/>
        <strike val="0"/>
        <condense val="0"/>
        <extend val="0"/>
        <outline val="0"/>
        <shadow val="0"/>
        <u val="none"/>
        <vertAlign val="baseline"/>
        <sz val="11"/>
        <color rgb="FF000000"/>
        <name val="Aptos Narrow"/>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rgb="FF000000"/>
        <name val="Aptos Narrow"/>
        <family val="2"/>
        <scheme val="none"/>
      </font>
      <fill>
        <patternFill patternType="solid">
          <fgColor theme="5"/>
          <bgColor theme="5"/>
        </patternFill>
      </fill>
    </dxf>
    <dxf>
      <font>
        <b/>
        <i val="0"/>
        <strike val="0"/>
        <condense val="0"/>
        <extend val="0"/>
        <outline val="0"/>
        <shadow val="0"/>
        <u val="none"/>
        <vertAlign val="baseline"/>
        <sz val="18"/>
        <color theme="1"/>
        <name val="Calibri"/>
        <family val="2"/>
        <scheme val="minor"/>
      </font>
      <numFmt numFmtId="2" formatCode="0.00"/>
    </dxf>
    <dxf>
      <font>
        <b/>
        <i val="0"/>
        <strike val="0"/>
        <condense val="0"/>
        <extend val="0"/>
        <outline val="0"/>
        <shadow val="0"/>
        <u val="none"/>
        <vertAlign val="baseline"/>
        <sz val="18"/>
        <color theme="1"/>
        <name val="Calibri"/>
        <family val="2"/>
        <scheme val="minor"/>
      </font>
      <numFmt numFmtId="12" formatCode="#,##0.00\ &quot;€&quot;;[Red]\-#,##0.00\ &quot;€&quot;"/>
    </dxf>
    <dxf>
      <font>
        <b/>
        <i val="0"/>
        <strike val="0"/>
        <condense val="0"/>
        <extend val="0"/>
        <outline val="0"/>
        <shadow val="0"/>
        <u val="none"/>
        <vertAlign val="baseline"/>
        <sz val="18"/>
        <color theme="1"/>
        <name val="Calibri"/>
        <family val="2"/>
        <scheme val="minor"/>
      </font>
    </dxf>
    <dxf>
      <font>
        <b/>
        <i val="0"/>
        <strike val="0"/>
        <condense val="0"/>
        <extend val="0"/>
        <outline val="0"/>
        <shadow val="0"/>
        <u val="none"/>
        <vertAlign val="baseline"/>
        <sz val="18"/>
        <color theme="1"/>
        <name val="Calibri"/>
        <family val="2"/>
        <scheme val="minor"/>
      </font>
    </dxf>
    <dxf>
      <font>
        <b/>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1"/>
        <color rgb="FF000000"/>
        <name val="Aptos Narrow"/>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numFmt numFmtId="164" formatCode="0.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164" formatCode="0.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164" formatCode="0.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164" formatCode="0.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164" formatCode="0.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solidFill>
                    <a:schemeClr val="accent1">
                      <a:shade val="50000"/>
                    </a:schemeClr>
                  </a:solidFill>
                </a:ln>
                <a:solidFill>
                  <a:schemeClr val="tx1"/>
                </a:solidFill>
                <a:latin typeface="+mn-lt"/>
                <a:ea typeface="+mn-ea"/>
                <a:cs typeface="+mn-cs"/>
              </a:defRPr>
            </a:pPr>
            <a:r>
              <a:rPr lang="en-US"/>
              <a:t>Evolution </a:t>
            </a:r>
            <a:r>
              <a:rPr lang="en-US" sz="1400" b="0" i="0" u="none" strike="noStrike" baseline="0">
                <a:effectLst/>
              </a:rPr>
              <a:t>du prix unitaire </a:t>
            </a:r>
            <a:r>
              <a:rPr lang="en-US"/>
              <a:t>Electricité en fonction </a:t>
            </a:r>
            <a:r>
              <a:rPr lang="en-US" sz="1400" b="0" i="0" u="none" strike="noStrike" baseline="0">
                <a:effectLst/>
              </a:rPr>
              <a:t>de la consommation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hade val="50000"/>
                  </a:schemeClr>
                </a:solidFill>
              </a:ln>
              <a:solidFill>
                <a:schemeClr val="tx1"/>
              </a:solidFill>
              <a:latin typeface="+mn-lt"/>
              <a:ea typeface="+mn-ea"/>
              <a:cs typeface="+mn-cs"/>
            </a:defRPr>
          </a:pPr>
          <a:endParaRPr lang="fr-FR"/>
        </a:p>
      </c:txPr>
    </c:title>
    <c:autoTitleDeleted val="0"/>
    <c:plotArea>
      <c:layout>
        <c:manualLayout>
          <c:layoutTarget val="inner"/>
          <c:xMode val="edge"/>
          <c:yMode val="edge"/>
          <c:x val="0.17459492563429571"/>
          <c:y val="0.23147649572649573"/>
          <c:w val="0.78384251968503937"/>
          <c:h val="0.55412820512820515"/>
        </c:manualLayout>
      </c:layout>
      <c:scatterChart>
        <c:scatterStyle val="lineMarker"/>
        <c:varyColors val="0"/>
        <c:ser>
          <c:idx val="0"/>
          <c:order val="0"/>
          <c:tx>
            <c:strRef>
              <c:f>Données1!$B$3</c:f>
              <c:strCache>
                <c:ptCount val="1"/>
                <c:pt idx="0">
                  <c:v>Electricité</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3.4733377077865266E-2"/>
                  <c:y val="-4.788461538461538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ln>
                        <a:solidFill>
                          <a:schemeClr val="accent1">
                            <a:shade val="50000"/>
                          </a:schemeClr>
                        </a:solidFill>
                      </a:ln>
                      <a:solidFill>
                        <a:schemeClr val="tx1"/>
                      </a:solidFill>
                      <a:latin typeface="+mn-lt"/>
                      <a:ea typeface="+mn-ea"/>
                      <a:cs typeface="+mn-cs"/>
                    </a:defRPr>
                  </a:pPr>
                  <a:endParaRPr lang="fr-FR"/>
                </a:p>
              </c:txPr>
            </c:trendlineLbl>
          </c:trendline>
          <c:xVal>
            <c:numRef>
              <c:f>Données1!$B$4:$B$13</c:f>
              <c:numCache>
                <c:formatCode>0.000</c:formatCode>
                <c:ptCount val="10"/>
                <c:pt idx="0">
                  <c:v>0.17</c:v>
                </c:pt>
                <c:pt idx="1">
                  <c:v>0.17</c:v>
                </c:pt>
                <c:pt idx="2">
                  <c:v>0.17299999999999999</c:v>
                </c:pt>
                <c:pt idx="3">
                  <c:v>0.17699999999999999</c:v>
                </c:pt>
                <c:pt idx="4">
                  <c:v>0.185</c:v>
                </c:pt>
                <c:pt idx="5">
                  <c:v>0.19400000000000001</c:v>
                </c:pt>
                <c:pt idx="6">
                  <c:v>0.19800000000000001</c:v>
                </c:pt>
                <c:pt idx="7">
                  <c:v>0.215</c:v>
                </c:pt>
                <c:pt idx="8">
                  <c:v>0.245</c:v>
                </c:pt>
                <c:pt idx="9">
                  <c:v>0.252</c:v>
                </c:pt>
              </c:numCache>
            </c:numRef>
          </c:xVal>
          <c:yVal>
            <c:numRef>
              <c:f>Données1!$K$4:$K$13</c:f>
              <c:numCache>
                <c:formatCode>General</c:formatCode>
                <c:ptCount val="10"/>
                <c:pt idx="0">
                  <c:v>14491.91</c:v>
                </c:pt>
                <c:pt idx="1">
                  <c:v>14817.46</c:v>
                </c:pt>
                <c:pt idx="2">
                  <c:v>14354.54</c:v>
                </c:pt>
                <c:pt idx="3">
                  <c:v>14081.67</c:v>
                </c:pt>
                <c:pt idx="4">
                  <c:v>13970.64</c:v>
                </c:pt>
                <c:pt idx="5">
                  <c:v>14076.97</c:v>
                </c:pt>
                <c:pt idx="6">
                  <c:v>14553.07</c:v>
                </c:pt>
                <c:pt idx="7">
                  <c:v>13319.53</c:v>
                </c:pt>
                <c:pt idx="8">
                  <c:v>12795.45</c:v>
                </c:pt>
                <c:pt idx="9" formatCode="0.00">
                  <c:v>12885.01815</c:v>
                </c:pt>
              </c:numCache>
            </c:numRef>
          </c:yVal>
          <c:smooth val="0"/>
          <c:extLst>
            <c:ext xmlns:c16="http://schemas.microsoft.com/office/drawing/2014/chart" uri="{C3380CC4-5D6E-409C-BE32-E72D297353CC}">
              <c16:uniqueId val="{00000000-A5ED-4462-97D9-467892CD6AF3}"/>
            </c:ext>
          </c:extLst>
        </c:ser>
        <c:dLbls>
          <c:showLegendKey val="0"/>
          <c:showVal val="0"/>
          <c:showCatName val="0"/>
          <c:showSerName val="0"/>
          <c:showPercent val="0"/>
          <c:showBubbleSize val="0"/>
        </c:dLbls>
        <c:axId val="527162047"/>
        <c:axId val="527162879"/>
      </c:scatterChart>
      <c:valAx>
        <c:axId val="527162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ln>
                      <a:solidFill>
                        <a:schemeClr val="accent1">
                          <a:shade val="50000"/>
                        </a:schemeClr>
                      </a:solidFill>
                    </a:ln>
                    <a:solidFill>
                      <a:schemeClr val="tx1"/>
                    </a:solidFill>
                    <a:latin typeface="+mn-lt"/>
                    <a:ea typeface="+mn-ea"/>
                    <a:cs typeface="+mn-cs"/>
                  </a:defRPr>
                </a:pPr>
                <a:r>
                  <a:rPr lang="fr-FR"/>
                  <a:t>Consommation d'électricité </a:t>
                </a:r>
              </a:p>
            </c:rich>
          </c:tx>
          <c:layout>
            <c:manualLayout>
              <c:xMode val="edge"/>
              <c:yMode val="edge"/>
              <c:x val="0.3496202974628172"/>
              <c:y val="0.89052564102564125"/>
            </c:manualLayout>
          </c:layout>
          <c:overlay val="0"/>
          <c:spPr>
            <a:noFill/>
            <a:ln>
              <a:noFill/>
            </a:ln>
            <a:effectLst/>
          </c:spPr>
          <c:txPr>
            <a:bodyPr rot="0" spcFirstLastPara="1" vertOverflow="ellipsis" vert="horz" wrap="square" anchor="ctr" anchorCtr="1"/>
            <a:lstStyle/>
            <a:p>
              <a:pPr>
                <a:defRPr sz="1000" b="0" i="0" u="none" strike="noStrike" kern="1200" baseline="0">
                  <a:ln>
                    <a:solidFill>
                      <a:schemeClr val="accent1">
                        <a:shade val="50000"/>
                      </a:schemeClr>
                    </a:solidFill>
                  </a:ln>
                  <a:solidFill>
                    <a:schemeClr val="tx1"/>
                  </a:solidFill>
                  <a:latin typeface="+mn-lt"/>
                  <a:ea typeface="+mn-ea"/>
                  <a:cs typeface="+mn-cs"/>
                </a:defRPr>
              </a:pPr>
              <a:endParaRPr lang="fr-FR"/>
            </a:p>
          </c:txPr>
        </c:title>
        <c:numFmt formatCode="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solidFill>
                    <a:schemeClr val="accent1">
                      <a:shade val="50000"/>
                    </a:schemeClr>
                  </a:solidFill>
                </a:ln>
                <a:solidFill>
                  <a:schemeClr val="tx1"/>
                </a:solidFill>
                <a:latin typeface="+mn-lt"/>
                <a:ea typeface="+mn-ea"/>
                <a:cs typeface="+mn-cs"/>
              </a:defRPr>
            </a:pPr>
            <a:endParaRPr lang="fr-FR"/>
          </a:p>
        </c:txPr>
        <c:crossAx val="527162879"/>
        <c:crosses val="autoZero"/>
        <c:crossBetween val="midCat"/>
      </c:valAx>
      <c:valAx>
        <c:axId val="52716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solidFill>
                        <a:schemeClr val="accent1">
                          <a:shade val="50000"/>
                        </a:schemeClr>
                      </a:solidFill>
                    </a:ln>
                    <a:solidFill>
                      <a:schemeClr val="tx1"/>
                    </a:solidFill>
                    <a:latin typeface="+mn-lt"/>
                    <a:ea typeface="+mn-ea"/>
                    <a:cs typeface="+mn-cs"/>
                  </a:defRPr>
                </a:pPr>
                <a:r>
                  <a:rPr lang="fr-FR"/>
                  <a:t>Prix unitaire d'électricité</a:t>
                </a:r>
              </a:p>
            </c:rich>
          </c:tx>
          <c:layout>
            <c:manualLayout>
              <c:xMode val="edge"/>
              <c:yMode val="edge"/>
              <c:x val="2.5000000000000001E-2"/>
              <c:y val="0.15463212250712249"/>
            </c:manualLayout>
          </c:layout>
          <c:overlay val="0"/>
          <c:spPr>
            <a:noFill/>
            <a:ln>
              <a:noFill/>
            </a:ln>
            <a:effectLst/>
          </c:spPr>
          <c:txPr>
            <a:bodyPr rot="-5400000" spcFirstLastPara="1" vertOverflow="ellipsis" vert="horz" wrap="square" anchor="ctr" anchorCtr="1"/>
            <a:lstStyle/>
            <a:p>
              <a:pPr>
                <a:defRPr sz="1000" b="0" i="0" u="none" strike="noStrike" kern="1200" baseline="0">
                  <a:ln>
                    <a:solidFill>
                      <a:schemeClr val="accent1">
                        <a:shade val="50000"/>
                      </a:schemeClr>
                    </a:solidFill>
                  </a:ln>
                  <a:solidFill>
                    <a:schemeClr val="tx1"/>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solidFill>
                    <a:schemeClr val="accent1">
                      <a:shade val="50000"/>
                    </a:schemeClr>
                  </a:solidFill>
                </a:ln>
                <a:solidFill>
                  <a:schemeClr val="tx1"/>
                </a:solidFill>
                <a:latin typeface="+mn-lt"/>
                <a:ea typeface="+mn-ea"/>
                <a:cs typeface="+mn-cs"/>
              </a:defRPr>
            </a:pPr>
            <a:endParaRPr lang="fr-FR"/>
          </a:p>
        </c:txPr>
        <c:crossAx val="527162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50000"/>
        </a:schemeClr>
      </a:solidFill>
      <a:round/>
    </a:ln>
    <a:effectLst/>
    <a:scene3d>
      <a:camera prst="orthographicFront"/>
      <a:lightRig rig="threePt" dir="t"/>
    </a:scene3d>
    <a:sp3d>
      <a:bevelT w="12700"/>
    </a:sp3d>
  </c:spPr>
  <c:txPr>
    <a:bodyPr/>
    <a:lstStyle/>
    <a:p>
      <a:pPr>
        <a:defRPr>
          <a:ln>
            <a:solidFill>
              <a:schemeClr val="accent1">
                <a:shade val="50000"/>
              </a:schemeClr>
            </a:solidFill>
          </a:ln>
          <a:solidFill>
            <a:schemeClr val="tx1"/>
          </a:solidFill>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Fioul prix unitaire vs prix de vente  </a:t>
            </a:r>
          </a:p>
        </c:rich>
      </c:tx>
      <c:layout>
        <c:manualLayout>
          <c:xMode val="edge"/>
          <c:yMode val="edge"/>
          <c:x val="0.1873471128608924"/>
          <c:y val="3.24073353348549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lineChart>
        <c:grouping val="standard"/>
        <c:varyColors val="0"/>
        <c:ser>
          <c:idx val="1"/>
          <c:order val="0"/>
          <c:tx>
            <c:strRef>
              <c:f>Graphique2!$C$8</c:f>
              <c:strCache>
                <c:ptCount val="1"/>
                <c:pt idx="0">
                  <c:v>Le prix de vente de chaleur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trendline>
            <c:spPr>
              <a:ln w="19050" cap="rnd">
                <a:solidFill>
                  <a:schemeClr val="accent2"/>
                </a:solidFill>
              </a:ln>
              <a:effectLst/>
            </c:spPr>
            <c:trendlineType val="linear"/>
            <c:dispRSqr val="1"/>
            <c:dispEq val="1"/>
            <c:trendlineLbl>
              <c:layout>
                <c:manualLayout>
                  <c:x val="2.8503074593948002E-2"/>
                  <c:y val="-0.150956345140792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trendlineLbl>
          </c:trendline>
          <c:cat>
            <c:numRef>
              <c:f>Graphique2!$N$11:$N$20</c:f>
              <c:numCache>
                <c:formatCode>General</c:formatCode>
                <c:ptCount val="10"/>
                <c:pt idx="0">
                  <c:v>7.2999999999999995E-2</c:v>
                </c:pt>
                <c:pt idx="1">
                  <c:v>6.5000000000000002E-2</c:v>
                </c:pt>
                <c:pt idx="2">
                  <c:v>7.5999999999999998E-2</c:v>
                </c:pt>
                <c:pt idx="3">
                  <c:v>9.2999999999999999E-2</c:v>
                </c:pt>
                <c:pt idx="4">
                  <c:v>9.5000000000000001E-2</c:v>
                </c:pt>
                <c:pt idx="5">
                  <c:v>7.8E-2</c:v>
                </c:pt>
                <c:pt idx="6">
                  <c:v>9.0999999999999998E-2</c:v>
                </c:pt>
                <c:pt idx="7">
                  <c:v>0.14899999999999999</c:v>
                </c:pt>
                <c:pt idx="8">
                  <c:v>0.129</c:v>
                </c:pt>
                <c:pt idx="9">
                  <c:v>0.123</c:v>
                </c:pt>
              </c:numCache>
            </c:numRef>
          </c:cat>
          <c:val>
            <c:numRef>
              <c:f>Graphique2!$F$11:$F$20</c:f>
              <c:numCache>
                <c:formatCode>0.00</c:formatCode>
                <c:ptCount val="10"/>
                <c:pt idx="0">
                  <c:v>1000</c:v>
                </c:pt>
                <c:pt idx="1">
                  <c:v>1020.8</c:v>
                </c:pt>
                <c:pt idx="2">
                  <c:v>1194.5999999999999</c:v>
                </c:pt>
                <c:pt idx="3">
                  <c:v>1458.2</c:v>
                </c:pt>
                <c:pt idx="4">
                  <c:v>1482</c:v>
                </c:pt>
                <c:pt idx="5">
                  <c:v>1214.4000000000001</c:v>
                </c:pt>
                <c:pt idx="6">
                  <c:v>1438.2</c:v>
                </c:pt>
                <c:pt idx="7">
                  <c:v>2391.6999999999998</c:v>
                </c:pt>
                <c:pt idx="8">
                  <c:v>2060.8000000000002</c:v>
                </c:pt>
                <c:pt idx="9">
                  <c:v>1946.8</c:v>
                </c:pt>
              </c:numCache>
            </c:numRef>
          </c:val>
          <c:smooth val="0"/>
          <c:extLst>
            <c:ext xmlns:c16="http://schemas.microsoft.com/office/drawing/2014/chart" uri="{C3380CC4-5D6E-409C-BE32-E72D297353CC}">
              <c16:uniqueId val="{00000000-C609-4B33-9060-23EB0DDDF645}"/>
            </c:ext>
          </c:extLst>
        </c:ser>
        <c:dLbls>
          <c:showLegendKey val="0"/>
          <c:showVal val="0"/>
          <c:showCatName val="0"/>
          <c:showSerName val="0"/>
          <c:showPercent val="0"/>
          <c:showBubbleSize val="0"/>
        </c:dLbls>
        <c:smooth val="0"/>
        <c:axId val="990300063"/>
        <c:axId val="990304223"/>
      </c:lineChart>
      <c:catAx>
        <c:axId val="9903000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fr-FR"/>
                  <a:t>Prix unitaire </a:t>
                </a:r>
              </a:p>
            </c:rich>
          </c:tx>
          <c:layout>
            <c:manualLayout>
              <c:xMode val="edge"/>
              <c:yMode val="edge"/>
              <c:x val="0.49762379702537174"/>
              <c:y val="0.8833100029163021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990304223"/>
        <c:crosses val="autoZero"/>
        <c:auto val="1"/>
        <c:lblAlgn val="ctr"/>
        <c:lblOffset val="100"/>
        <c:noMultiLvlLbl val="0"/>
      </c:catAx>
      <c:valAx>
        <c:axId val="9903042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fr-FR"/>
                  <a:t>Prix de vente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990300063"/>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Petrole prix unitaire vs prix de vente  </a:t>
            </a:r>
          </a:p>
        </c:rich>
      </c:tx>
      <c:layout>
        <c:manualLayout>
          <c:xMode val="edge"/>
          <c:yMode val="edge"/>
          <c:x val="0.1873471636005018"/>
          <c:y val="1.3188240866710953E-2"/>
        </c:manualLayout>
      </c:layout>
      <c:overlay val="0"/>
      <c:spPr>
        <a:noFill/>
        <a:ln>
          <a:noFill/>
        </a:ln>
        <a:effectLst/>
      </c:spPr>
    </c:title>
    <c:autoTitleDeleted val="0"/>
    <c:plotArea>
      <c:layout/>
      <c:lineChart>
        <c:grouping val="standard"/>
        <c:varyColors val="0"/>
        <c:ser>
          <c:idx val="0"/>
          <c:order val="0"/>
          <c:tx>
            <c:strRef>
              <c:f>Graphique2!$C$8</c:f>
              <c:strCache>
                <c:ptCount val="1"/>
                <c:pt idx="0">
                  <c:v>Le prix de vente de chaleur </c:v>
                </c:pt>
              </c:strCache>
            </c:strRef>
          </c:tx>
          <c:marker>
            <c:symbol val="none"/>
          </c:marker>
          <c:cat>
            <c:numRef>
              <c:f>Graphique2!$O$11:$O$20</c:f>
              <c:numCache>
                <c:formatCode>General</c:formatCode>
                <c:ptCount val="10"/>
                <c:pt idx="0">
                  <c:v>0.127</c:v>
                </c:pt>
                <c:pt idx="1">
                  <c:v>0.11799999999999999</c:v>
                </c:pt>
                <c:pt idx="2">
                  <c:v>0.13200000000000001</c:v>
                </c:pt>
                <c:pt idx="3">
                  <c:v>0.14299999999999999</c:v>
                </c:pt>
                <c:pt idx="4">
                  <c:v>0.14199999999999999</c:v>
                </c:pt>
                <c:pt idx="5">
                  <c:v>0.14499999999999999</c:v>
                </c:pt>
                <c:pt idx="6">
                  <c:v>0.14899999999999999</c:v>
                </c:pt>
                <c:pt idx="7">
                  <c:v>0.16</c:v>
                </c:pt>
                <c:pt idx="8">
                  <c:v>0.16600000000000001</c:v>
                </c:pt>
                <c:pt idx="9">
                  <c:v>0.17199999999999999</c:v>
                </c:pt>
              </c:numCache>
            </c:numRef>
          </c:cat>
          <c:val>
            <c:numRef>
              <c:f>Graphique2!$G$11:$G$20</c:f>
              <c:numCache>
                <c:formatCode>0.00</c:formatCode>
                <c:ptCount val="10"/>
                <c:pt idx="0">
                  <c:v>1000</c:v>
                </c:pt>
                <c:pt idx="1">
                  <c:v>947.1</c:v>
                </c:pt>
                <c:pt idx="2">
                  <c:v>104.49</c:v>
                </c:pt>
                <c:pt idx="3">
                  <c:v>1200.2</c:v>
                </c:pt>
                <c:pt idx="4">
                  <c:v>1208.4000000000001</c:v>
                </c:pt>
                <c:pt idx="5">
                  <c:v>1064.8</c:v>
                </c:pt>
                <c:pt idx="6">
                  <c:v>1207.5999999999999</c:v>
                </c:pt>
                <c:pt idx="7">
                  <c:v>1560.7</c:v>
                </c:pt>
                <c:pt idx="8">
                  <c:v>1533.6</c:v>
                </c:pt>
                <c:pt idx="9">
                  <c:v>1459.1</c:v>
                </c:pt>
              </c:numCache>
            </c:numRef>
          </c:val>
          <c:smooth val="0"/>
          <c:extLst>
            <c:ext xmlns:c16="http://schemas.microsoft.com/office/drawing/2014/chart" uri="{C3380CC4-5D6E-409C-BE32-E72D297353CC}">
              <c16:uniqueId val="{00000004-B3F1-4F7C-87ED-E7D189DF959D}"/>
            </c:ext>
          </c:extLst>
        </c:ser>
        <c:ser>
          <c:idx val="1"/>
          <c:order val="1"/>
          <c:tx>
            <c:strRef>
              <c:f>Graphique2!$C$8</c:f>
              <c:strCache>
                <c:ptCount val="1"/>
                <c:pt idx="0">
                  <c:v>Le prix de vente de chaleur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trendline>
            <c:trendlineType val="linear"/>
            <c:dispRSqr val="1"/>
            <c:dispEq val="1"/>
            <c:trendlineLbl>
              <c:layout>
                <c:manualLayout>
                  <c:x val="-0.15474646281516924"/>
                  <c:y val="-0.10344742787875853"/>
                </c:manualLayout>
              </c:layout>
              <c:numFmt formatCode="General" sourceLinked="0"/>
            </c:trendlineLbl>
          </c:trendline>
          <c:cat>
            <c:numRef>
              <c:f>Graphique2!$O$11:$O$20</c:f>
              <c:numCache>
                <c:formatCode>General</c:formatCode>
                <c:ptCount val="10"/>
                <c:pt idx="0">
                  <c:v>0.127</c:v>
                </c:pt>
                <c:pt idx="1">
                  <c:v>0.11799999999999999</c:v>
                </c:pt>
                <c:pt idx="2">
                  <c:v>0.13200000000000001</c:v>
                </c:pt>
                <c:pt idx="3">
                  <c:v>0.14299999999999999</c:v>
                </c:pt>
                <c:pt idx="4">
                  <c:v>0.14199999999999999</c:v>
                </c:pt>
                <c:pt idx="5">
                  <c:v>0.14499999999999999</c:v>
                </c:pt>
                <c:pt idx="6">
                  <c:v>0.14899999999999999</c:v>
                </c:pt>
                <c:pt idx="7">
                  <c:v>0.16</c:v>
                </c:pt>
                <c:pt idx="8">
                  <c:v>0.16600000000000001</c:v>
                </c:pt>
                <c:pt idx="9">
                  <c:v>0.17199999999999999</c:v>
                </c:pt>
              </c:numCache>
            </c:numRef>
          </c:cat>
          <c:val>
            <c:numRef>
              <c:f>Graphique2!$G$11:$G$20</c:f>
              <c:numCache>
                <c:formatCode>0.00</c:formatCode>
                <c:ptCount val="10"/>
                <c:pt idx="0">
                  <c:v>1000</c:v>
                </c:pt>
                <c:pt idx="1">
                  <c:v>947.1</c:v>
                </c:pt>
                <c:pt idx="2">
                  <c:v>104.49</c:v>
                </c:pt>
                <c:pt idx="3">
                  <c:v>1200.2</c:v>
                </c:pt>
                <c:pt idx="4">
                  <c:v>1208.4000000000001</c:v>
                </c:pt>
                <c:pt idx="5">
                  <c:v>1064.8</c:v>
                </c:pt>
                <c:pt idx="6">
                  <c:v>1207.5999999999999</c:v>
                </c:pt>
                <c:pt idx="7">
                  <c:v>1560.7</c:v>
                </c:pt>
                <c:pt idx="8">
                  <c:v>1533.6</c:v>
                </c:pt>
                <c:pt idx="9">
                  <c:v>1459.1</c:v>
                </c:pt>
              </c:numCache>
            </c:numRef>
          </c:val>
          <c:smooth val="0"/>
          <c:extLst>
            <c:ext xmlns:c16="http://schemas.microsoft.com/office/drawing/2014/chart" uri="{C3380CC4-5D6E-409C-BE32-E72D297353CC}">
              <c16:uniqueId val="{00000003-B3F1-4F7C-87ED-E7D189DF959D}"/>
            </c:ext>
          </c:extLst>
        </c:ser>
        <c:dLbls>
          <c:showLegendKey val="0"/>
          <c:showVal val="0"/>
          <c:showCatName val="0"/>
          <c:showSerName val="0"/>
          <c:showPercent val="0"/>
          <c:showBubbleSize val="0"/>
        </c:dLbls>
        <c:smooth val="0"/>
        <c:axId val="990300063"/>
        <c:axId val="990304223"/>
      </c:lineChart>
      <c:catAx>
        <c:axId val="9903000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Prix unitaire </a:t>
                </a:r>
              </a:p>
            </c:rich>
          </c:tx>
          <c:layout>
            <c:manualLayout>
              <c:xMode val="edge"/>
              <c:yMode val="edge"/>
              <c:x val="0.49762379702537174"/>
              <c:y val="0.88331000291630213"/>
            </c:manualLayout>
          </c:layout>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0304223"/>
        <c:crosses val="autoZero"/>
        <c:auto val="1"/>
        <c:lblAlgn val="ctr"/>
        <c:lblOffset val="100"/>
        <c:noMultiLvlLbl val="0"/>
      </c:catAx>
      <c:valAx>
        <c:axId val="99030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Prix de vente</a:t>
                </a:r>
              </a:p>
            </c:rich>
          </c:tx>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0300063"/>
        <c:crosses val="autoZero"/>
        <c:crossBetween val="between"/>
      </c:valAx>
      <c:spPr>
        <a:noFill/>
        <a:ln>
          <a:noFill/>
        </a:ln>
        <a:effectLst/>
      </c:spPr>
    </c:plotArea>
    <c:plotVisOnly val="1"/>
    <c:dispBlanksAs val="gap"/>
    <c:showDLblsOverMax val="0"/>
    <c:extLst/>
  </c:chart>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Bois prix unitaire vs prix de vente  </a:t>
            </a:r>
          </a:p>
        </c:rich>
      </c:tx>
      <c:layout>
        <c:manualLayout>
          <c:xMode val="edge"/>
          <c:yMode val="edge"/>
          <c:x val="0.1873471636005018"/>
          <c:y val="1.318824086671095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lineChart>
        <c:grouping val="standard"/>
        <c:varyColors val="0"/>
        <c:ser>
          <c:idx val="0"/>
          <c:order val="0"/>
          <c:tx>
            <c:strRef>
              <c:f>Graphique2!$C$8</c:f>
              <c:strCache>
                <c:ptCount val="1"/>
                <c:pt idx="0">
                  <c:v>Le prix de vente de chaleur </c:v>
                </c:pt>
              </c:strCache>
            </c:strRef>
          </c:tx>
          <c:spPr>
            <a:ln w="22225" cap="rnd">
              <a:solidFill>
                <a:schemeClr val="accent1"/>
              </a:solidFill>
            </a:ln>
            <a:effectLst>
              <a:glow rad="139700">
                <a:schemeClr val="accent1">
                  <a:satMod val="175000"/>
                  <a:alpha val="14000"/>
                </a:schemeClr>
              </a:glow>
            </a:effectLst>
          </c:spPr>
          <c:marker>
            <c:symbol val="none"/>
          </c:marker>
          <c:trendline>
            <c:spPr>
              <a:ln w="25400" cap="rnd">
                <a:solidFill>
                  <a:schemeClr val="accent1">
                    <a:alpha val="50000"/>
                  </a:schemeClr>
                </a:solidFill>
              </a:ln>
              <a:effectLst/>
            </c:spPr>
            <c:trendlineType val="linear"/>
            <c:dispRSqr val="1"/>
            <c:dispEq val="1"/>
            <c:trendlineLbl>
              <c:layout>
                <c:manualLayout>
                  <c:x val="3.2998395066029867E-3"/>
                  <c:y val="-0.1280644885022233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trendlineLbl>
          </c:trendline>
          <c:cat>
            <c:numRef>
              <c:f>Graphique2!$P$11:$P$20</c:f>
              <c:numCache>
                <c:formatCode>General</c:formatCode>
                <c:ptCount val="10"/>
                <c:pt idx="0">
                  <c:v>6.0999999999999999E-2</c:v>
                </c:pt>
                <c:pt idx="1">
                  <c:v>0.06</c:v>
                </c:pt>
                <c:pt idx="2">
                  <c:v>0.06</c:v>
                </c:pt>
                <c:pt idx="3">
                  <c:v>6.0999999999999999E-2</c:v>
                </c:pt>
                <c:pt idx="4">
                  <c:v>6.4000000000000001E-2</c:v>
                </c:pt>
                <c:pt idx="5">
                  <c:v>6.5000000000000002E-2</c:v>
                </c:pt>
                <c:pt idx="6">
                  <c:v>6.7000000000000004E-2</c:v>
                </c:pt>
                <c:pt idx="7">
                  <c:v>0.107</c:v>
                </c:pt>
                <c:pt idx="8">
                  <c:v>0.106</c:v>
                </c:pt>
                <c:pt idx="9">
                  <c:v>7.9000000000000001E-2</c:v>
                </c:pt>
              </c:numCache>
            </c:numRef>
          </c:cat>
          <c:val>
            <c:numRef>
              <c:f>Graphique2!$H$11:$H$20</c:f>
              <c:numCache>
                <c:formatCode>0.00</c:formatCode>
                <c:ptCount val="10"/>
                <c:pt idx="0">
                  <c:v>722.72168673530325</c:v>
                </c:pt>
                <c:pt idx="1">
                  <c:v>692.66917718758191</c:v>
                </c:pt>
                <c:pt idx="2">
                  <c:v>827.79991818487292</c:v>
                </c:pt>
                <c:pt idx="3">
                  <c:v>973.34621314560547</c:v>
                </c:pt>
                <c:pt idx="4">
                  <c:v>961.36093205018165</c:v>
                </c:pt>
                <c:pt idx="5">
                  <c:v>782.82203758149046</c:v>
                </c:pt>
                <c:pt idx="6">
                  <c:v>846.07408174526381</c:v>
                </c:pt>
                <c:pt idx="7">
                  <c:v>1218.8853631325699</c:v>
                </c:pt>
                <c:pt idx="8">
                  <c:v>923.70155180019742</c:v>
                </c:pt>
                <c:pt idx="9">
                  <c:v>1168.9135640267339</c:v>
                </c:pt>
              </c:numCache>
            </c:numRef>
          </c:val>
          <c:smooth val="0"/>
          <c:extLst>
            <c:ext xmlns:c16="http://schemas.microsoft.com/office/drawing/2014/chart" uri="{C3380CC4-5D6E-409C-BE32-E72D297353CC}">
              <c16:uniqueId val="{00000000-66B9-47CB-9D4A-969646F973A6}"/>
            </c:ext>
          </c:extLst>
        </c:ser>
        <c:dLbls>
          <c:showLegendKey val="0"/>
          <c:showVal val="0"/>
          <c:showCatName val="0"/>
          <c:showSerName val="0"/>
          <c:showPercent val="0"/>
          <c:showBubbleSize val="0"/>
        </c:dLbls>
        <c:smooth val="0"/>
        <c:axId val="990300063"/>
        <c:axId val="990304223"/>
      </c:lineChart>
      <c:catAx>
        <c:axId val="9903000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a:t>Prix unitaire </a:t>
                </a:r>
              </a:p>
            </c:rich>
          </c:tx>
          <c:layout>
            <c:manualLayout>
              <c:xMode val="edge"/>
              <c:yMode val="edge"/>
              <c:x val="0.49762379702537174"/>
              <c:y val="0.8833100029163021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990304223"/>
        <c:crosses val="autoZero"/>
        <c:auto val="1"/>
        <c:lblAlgn val="ctr"/>
        <c:lblOffset val="100"/>
        <c:noMultiLvlLbl val="0"/>
      </c:catAx>
      <c:valAx>
        <c:axId val="9903042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a:t>Prix de vente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990300063"/>
        <c:crosses val="autoZero"/>
        <c:crossBetween val="between"/>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Electricité  Residual Plot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manualLayout>
          <c:layoutTarget val="inner"/>
          <c:xMode val="edge"/>
          <c:yMode val="edge"/>
          <c:x val="0.13162894940399453"/>
          <c:y val="0.27367518084629666"/>
          <c:w val="0.83333330688827623"/>
          <c:h val="0.55588553869790669"/>
        </c:manualLayout>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'Regression multiples'!$C$5:$C$14</c:f>
              <c:numCache>
                <c:formatCode>0.000</c:formatCode>
                <c:ptCount val="10"/>
                <c:pt idx="0">
                  <c:v>0.17</c:v>
                </c:pt>
                <c:pt idx="1">
                  <c:v>0.17</c:v>
                </c:pt>
                <c:pt idx="2">
                  <c:v>0.17299999999999999</c:v>
                </c:pt>
                <c:pt idx="3">
                  <c:v>0.17699999999999999</c:v>
                </c:pt>
                <c:pt idx="4">
                  <c:v>0.185</c:v>
                </c:pt>
                <c:pt idx="5">
                  <c:v>0.19400000000000001</c:v>
                </c:pt>
                <c:pt idx="6">
                  <c:v>0.19800000000000001</c:v>
                </c:pt>
                <c:pt idx="7">
                  <c:v>0.215</c:v>
                </c:pt>
                <c:pt idx="8">
                  <c:v>0.245</c:v>
                </c:pt>
                <c:pt idx="9">
                  <c:v>0.252</c:v>
                </c:pt>
              </c:numCache>
            </c:numRef>
          </c:xVal>
          <c:yVal>
            <c:numRef>
              <c:f>'Regression multiples'!$C$45:$C$54</c:f>
              <c:numCache>
                <c:formatCode>0.00</c:formatCode>
                <c:ptCount val="10"/>
                <c:pt idx="0">
                  <c:v>384.75806816660042</c:v>
                </c:pt>
                <c:pt idx="1">
                  <c:v>-246.7611444179056</c:v>
                </c:pt>
                <c:pt idx="2">
                  <c:v>344.20769460435258</c:v>
                </c:pt>
                <c:pt idx="3">
                  <c:v>38.369344904494938</c:v>
                </c:pt>
                <c:pt idx="4">
                  <c:v>-403.58396917633945</c:v>
                </c:pt>
                <c:pt idx="5">
                  <c:v>-820.29055358291225</c:v>
                </c:pt>
                <c:pt idx="6">
                  <c:v>707.97667122015991</c:v>
                </c:pt>
                <c:pt idx="7">
                  <c:v>-171.81743372342316</c:v>
                </c:pt>
                <c:pt idx="8">
                  <c:v>193.94662221903855</c:v>
                </c:pt>
                <c:pt idx="9">
                  <c:v>-26.805300213942246</c:v>
                </c:pt>
              </c:numCache>
            </c:numRef>
          </c:yVal>
          <c:smooth val="0"/>
          <c:extLst>
            <c:ext xmlns:c16="http://schemas.microsoft.com/office/drawing/2014/chart" uri="{C3380CC4-5D6E-409C-BE32-E72D297353CC}">
              <c16:uniqueId val="{00000001-1CE1-4142-A467-D2235AE2277D}"/>
            </c:ext>
          </c:extLst>
        </c:ser>
        <c:dLbls>
          <c:showLegendKey val="0"/>
          <c:showVal val="0"/>
          <c:showCatName val="0"/>
          <c:showSerName val="0"/>
          <c:showPercent val="0"/>
          <c:showBubbleSize val="0"/>
        </c:dLbls>
        <c:axId val="1150554928"/>
        <c:axId val="1150541616"/>
      </c:scatterChart>
      <c:valAx>
        <c:axId val="115055492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fr-FR"/>
                  <a:t>Electricité</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fr-FR"/>
            </a:p>
          </c:txPr>
        </c:title>
        <c:numFmt formatCode="0.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150541616"/>
        <c:crosses val="autoZero"/>
        <c:crossBetween val="midCat"/>
      </c:valAx>
      <c:valAx>
        <c:axId val="11505416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fr-FR"/>
                  <a:t>Residuals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fr-FR"/>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150554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Gaz natuel  Residual Plot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'Regression multiples'!$D$5:$D$14</c:f>
              <c:numCache>
                <c:formatCode>0.000</c:formatCode>
                <c:ptCount val="10"/>
                <c:pt idx="0">
                  <c:v>7.1999999999999995E-2</c:v>
                </c:pt>
                <c:pt idx="1">
                  <c:v>6.6000000000000003E-2</c:v>
                </c:pt>
                <c:pt idx="2">
                  <c:v>6.7000000000000004E-2</c:v>
                </c:pt>
                <c:pt idx="3">
                  <c:v>7.0999999999999994E-2</c:v>
                </c:pt>
                <c:pt idx="4">
                  <c:v>7.9000000000000001E-2</c:v>
                </c:pt>
                <c:pt idx="5">
                  <c:v>7.2999999999999995E-2</c:v>
                </c:pt>
                <c:pt idx="6">
                  <c:v>7.3999999999999996E-2</c:v>
                </c:pt>
                <c:pt idx="7">
                  <c:v>9.2999999999999999E-2</c:v>
                </c:pt>
                <c:pt idx="8">
                  <c:v>0.111</c:v>
                </c:pt>
                <c:pt idx="9">
                  <c:v>0.126</c:v>
                </c:pt>
              </c:numCache>
            </c:numRef>
          </c:xVal>
          <c:yVal>
            <c:numRef>
              <c:f>'Regression multiples'!$C$45:$C$54</c:f>
              <c:numCache>
                <c:formatCode>0.00</c:formatCode>
                <c:ptCount val="10"/>
                <c:pt idx="0">
                  <c:v>384.75806816660042</c:v>
                </c:pt>
                <c:pt idx="1">
                  <c:v>-246.7611444179056</c:v>
                </c:pt>
                <c:pt idx="2">
                  <c:v>344.20769460435258</c:v>
                </c:pt>
                <c:pt idx="3">
                  <c:v>38.369344904494938</c:v>
                </c:pt>
                <c:pt idx="4">
                  <c:v>-403.58396917633945</c:v>
                </c:pt>
                <c:pt idx="5">
                  <c:v>-820.29055358291225</c:v>
                </c:pt>
                <c:pt idx="6">
                  <c:v>707.97667122015991</c:v>
                </c:pt>
                <c:pt idx="7">
                  <c:v>-171.81743372342316</c:v>
                </c:pt>
                <c:pt idx="8">
                  <c:v>193.94662221903855</c:v>
                </c:pt>
                <c:pt idx="9">
                  <c:v>-26.805300213942246</c:v>
                </c:pt>
              </c:numCache>
            </c:numRef>
          </c:yVal>
          <c:smooth val="0"/>
          <c:extLst>
            <c:ext xmlns:c16="http://schemas.microsoft.com/office/drawing/2014/chart" uri="{C3380CC4-5D6E-409C-BE32-E72D297353CC}">
              <c16:uniqueId val="{00000001-1C89-431F-8261-79875192B777}"/>
            </c:ext>
          </c:extLst>
        </c:ser>
        <c:dLbls>
          <c:showLegendKey val="0"/>
          <c:showVal val="0"/>
          <c:showCatName val="0"/>
          <c:showSerName val="0"/>
          <c:showPercent val="0"/>
          <c:showBubbleSize val="0"/>
        </c:dLbls>
        <c:axId val="1150547024"/>
        <c:axId val="1150555760"/>
      </c:scatterChart>
      <c:valAx>
        <c:axId val="115054702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fr-FR"/>
                  <a:t>Gaz natuel</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fr-FR"/>
            </a:p>
          </c:txPr>
        </c:title>
        <c:numFmt formatCode="0.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150555760"/>
        <c:crosses val="autoZero"/>
        <c:crossBetween val="midCat"/>
      </c:valAx>
      <c:valAx>
        <c:axId val="11505557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fr-FR"/>
                  <a:t>Residuals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fr-FR"/>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150547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Fioul domestique  Residual Plot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'Regression multiples'!$E$5:$E$14</c:f>
              <c:numCache>
                <c:formatCode>0.000</c:formatCode>
                <c:ptCount val="10"/>
                <c:pt idx="0">
                  <c:v>7.2999999999999995E-2</c:v>
                </c:pt>
                <c:pt idx="1">
                  <c:v>6.5000000000000002E-2</c:v>
                </c:pt>
                <c:pt idx="2">
                  <c:v>7.5999999999999998E-2</c:v>
                </c:pt>
                <c:pt idx="3">
                  <c:v>9.2999999999999999E-2</c:v>
                </c:pt>
                <c:pt idx="4">
                  <c:v>9.5000000000000001E-2</c:v>
                </c:pt>
                <c:pt idx="5">
                  <c:v>7.8E-2</c:v>
                </c:pt>
                <c:pt idx="6">
                  <c:v>9.0999999999999998E-2</c:v>
                </c:pt>
                <c:pt idx="7">
                  <c:v>0.14899999999999999</c:v>
                </c:pt>
                <c:pt idx="8">
                  <c:v>0.129</c:v>
                </c:pt>
                <c:pt idx="9">
                  <c:v>0.123</c:v>
                </c:pt>
              </c:numCache>
            </c:numRef>
          </c:xVal>
          <c:yVal>
            <c:numRef>
              <c:f>'Regression multiples'!$C$45:$C$54</c:f>
              <c:numCache>
                <c:formatCode>0.00</c:formatCode>
                <c:ptCount val="10"/>
                <c:pt idx="0">
                  <c:v>384.75806816660042</c:v>
                </c:pt>
                <c:pt idx="1">
                  <c:v>-246.7611444179056</c:v>
                </c:pt>
                <c:pt idx="2">
                  <c:v>344.20769460435258</c:v>
                </c:pt>
                <c:pt idx="3">
                  <c:v>38.369344904494938</c:v>
                </c:pt>
                <c:pt idx="4">
                  <c:v>-403.58396917633945</c:v>
                </c:pt>
                <c:pt idx="5">
                  <c:v>-820.29055358291225</c:v>
                </c:pt>
                <c:pt idx="6">
                  <c:v>707.97667122015991</c:v>
                </c:pt>
                <c:pt idx="7">
                  <c:v>-171.81743372342316</c:v>
                </c:pt>
                <c:pt idx="8">
                  <c:v>193.94662221903855</c:v>
                </c:pt>
                <c:pt idx="9">
                  <c:v>-26.805300213942246</c:v>
                </c:pt>
              </c:numCache>
            </c:numRef>
          </c:yVal>
          <c:smooth val="0"/>
          <c:extLst>
            <c:ext xmlns:c16="http://schemas.microsoft.com/office/drawing/2014/chart" uri="{C3380CC4-5D6E-409C-BE32-E72D297353CC}">
              <c16:uniqueId val="{00000001-38D8-4C12-9F73-11C46285D56B}"/>
            </c:ext>
          </c:extLst>
        </c:ser>
        <c:dLbls>
          <c:showLegendKey val="0"/>
          <c:showVal val="0"/>
          <c:showCatName val="0"/>
          <c:showSerName val="0"/>
          <c:showPercent val="0"/>
          <c:showBubbleSize val="0"/>
        </c:dLbls>
        <c:axId val="1150546608"/>
        <c:axId val="1150554928"/>
      </c:scatterChart>
      <c:valAx>
        <c:axId val="115054660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fr-FR"/>
                  <a:t>Fioul domestique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fr-FR"/>
            </a:p>
          </c:txPr>
        </c:title>
        <c:numFmt formatCode="0.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150554928"/>
        <c:crosses val="autoZero"/>
        <c:crossBetween val="midCat"/>
      </c:valAx>
      <c:valAx>
        <c:axId val="11505549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fr-FR"/>
                  <a:t>Residuals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fr-FR"/>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150546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Petrole   Residual Plot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'Regression multiples'!$F$5:$F$14</c:f>
              <c:numCache>
                <c:formatCode>0.000</c:formatCode>
                <c:ptCount val="10"/>
                <c:pt idx="0">
                  <c:v>0.127</c:v>
                </c:pt>
                <c:pt idx="1">
                  <c:v>0.11799999999999999</c:v>
                </c:pt>
                <c:pt idx="2">
                  <c:v>0.13200000000000001</c:v>
                </c:pt>
                <c:pt idx="3">
                  <c:v>0.14299999999999999</c:v>
                </c:pt>
                <c:pt idx="4">
                  <c:v>0.14199999999999999</c:v>
                </c:pt>
                <c:pt idx="5">
                  <c:v>0.14499999999999999</c:v>
                </c:pt>
                <c:pt idx="6">
                  <c:v>0.14899999999999999</c:v>
                </c:pt>
                <c:pt idx="7">
                  <c:v>0.16</c:v>
                </c:pt>
                <c:pt idx="8">
                  <c:v>0.16600000000000001</c:v>
                </c:pt>
                <c:pt idx="9">
                  <c:v>0.17199999999999999</c:v>
                </c:pt>
              </c:numCache>
            </c:numRef>
          </c:xVal>
          <c:yVal>
            <c:numRef>
              <c:f>'Regression multiples'!$C$45:$C$54</c:f>
              <c:numCache>
                <c:formatCode>0.00</c:formatCode>
                <c:ptCount val="10"/>
                <c:pt idx="0">
                  <c:v>384.75806816660042</c:v>
                </c:pt>
                <c:pt idx="1">
                  <c:v>-246.7611444179056</c:v>
                </c:pt>
                <c:pt idx="2">
                  <c:v>344.20769460435258</c:v>
                </c:pt>
                <c:pt idx="3">
                  <c:v>38.369344904494938</c:v>
                </c:pt>
                <c:pt idx="4">
                  <c:v>-403.58396917633945</c:v>
                </c:pt>
                <c:pt idx="5">
                  <c:v>-820.29055358291225</c:v>
                </c:pt>
                <c:pt idx="6">
                  <c:v>707.97667122015991</c:v>
                </c:pt>
                <c:pt idx="7">
                  <c:v>-171.81743372342316</c:v>
                </c:pt>
                <c:pt idx="8">
                  <c:v>193.94662221903855</c:v>
                </c:pt>
                <c:pt idx="9">
                  <c:v>-26.805300213942246</c:v>
                </c:pt>
              </c:numCache>
            </c:numRef>
          </c:yVal>
          <c:smooth val="0"/>
          <c:extLst>
            <c:ext xmlns:c16="http://schemas.microsoft.com/office/drawing/2014/chart" uri="{C3380CC4-5D6E-409C-BE32-E72D297353CC}">
              <c16:uniqueId val="{00000001-5943-407F-A408-75E8D5971A5E}"/>
            </c:ext>
          </c:extLst>
        </c:ser>
        <c:dLbls>
          <c:showLegendKey val="0"/>
          <c:showVal val="0"/>
          <c:showCatName val="0"/>
          <c:showSerName val="0"/>
          <c:showPercent val="0"/>
          <c:showBubbleSize val="0"/>
        </c:dLbls>
        <c:axId val="1150563664"/>
        <c:axId val="1150542864"/>
      </c:scatterChart>
      <c:valAx>
        <c:axId val="115056366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fr-FR"/>
                  <a:t>Petrole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fr-FR"/>
            </a:p>
          </c:txPr>
        </c:title>
        <c:numFmt formatCode="0.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150542864"/>
        <c:crosses val="autoZero"/>
        <c:crossBetween val="midCat"/>
      </c:valAx>
      <c:valAx>
        <c:axId val="11505428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fr-FR"/>
                  <a:t>Residuals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fr-FR"/>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150563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Bois  Residual Plot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manualLayout>
          <c:layoutTarget val="inner"/>
          <c:xMode val="edge"/>
          <c:yMode val="edge"/>
          <c:x val="0.13616881121567118"/>
          <c:y val="0.27661788617886179"/>
          <c:w val="0.81202016516228159"/>
          <c:h val="0.58038998783688622"/>
        </c:manualLayout>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errBars>
            <c:errDir val="x"/>
            <c:errBarType val="both"/>
            <c:errValType val="stdErr"/>
            <c:noEndCap val="0"/>
            <c:spPr>
              <a:noFill/>
              <a:ln w="9525" cap="flat" cmpd="sng" algn="ctr">
                <a:solidFill>
                  <a:schemeClr val="lt1">
                    <a:lumMod val="95000"/>
                  </a:schemeClr>
                </a:solidFill>
                <a:round/>
              </a:ln>
              <a:effectLst/>
            </c:spPr>
          </c:errBars>
          <c:errBars>
            <c:errDir val="y"/>
            <c:errBarType val="both"/>
            <c:errValType val="stdErr"/>
            <c:noEndCap val="0"/>
            <c:spPr>
              <a:noFill/>
              <a:ln w="9525" cap="flat" cmpd="sng" algn="ctr">
                <a:solidFill>
                  <a:schemeClr val="lt1">
                    <a:lumMod val="95000"/>
                  </a:schemeClr>
                </a:solidFill>
                <a:round/>
              </a:ln>
              <a:effectLst/>
            </c:spPr>
          </c:errBars>
          <c:xVal>
            <c:numRef>
              <c:f>'Regression multiples'!$G$5:$G$14</c:f>
              <c:numCache>
                <c:formatCode>0.000</c:formatCode>
                <c:ptCount val="10"/>
                <c:pt idx="0">
                  <c:v>6.0999999999999999E-2</c:v>
                </c:pt>
                <c:pt idx="1">
                  <c:v>0.06</c:v>
                </c:pt>
                <c:pt idx="2">
                  <c:v>0.06</c:v>
                </c:pt>
                <c:pt idx="3">
                  <c:v>6.0999999999999999E-2</c:v>
                </c:pt>
                <c:pt idx="4">
                  <c:v>6.4000000000000001E-2</c:v>
                </c:pt>
                <c:pt idx="5">
                  <c:v>6.5000000000000002E-2</c:v>
                </c:pt>
                <c:pt idx="6">
                  <c:v>6.7000000000000004E-2</c:v>
                </c:pt>
                <c:pt idx="7">
                  <c:v>0.107</c:v>
                </c:pt>
                <c:pt idx="8">
                  <c:v>0.106</c:v>
                </c:pt>
                <c:pt idx="9">
                  <c:v>7.9000000000000001E-2</c:v>
                </c:pt>
              </c:numCache>
            </c:numRef>
          </c:xVal>
          <c:yVal>
            <c:numRef>
              <c:f>'Regression multiples'!$C$45:$C$54</c:f>
              <c:numCache>
                <c:formatCode>0.00</c:formatCode>
                <c:ptCount val="10"/>
                <c:pt idx="0">
                  <c:v>384.75806816660042</c:v>
                </c:pt>
                <c:pt idx="1">
                  <c:v>-246.7611444179056</c:v>
                </c:pt>
                <c:pt idx="2">
                  <c:v>344.20769460435258</c:v>
                </c:pt>
                <c:pt idx="3">
                  <c:v>38.369344904494938</c:v>
                </c:pt>
                <c:pt idx="4">
                  <c:v>-403.58396917633945</c:v>
                </c:pt>
                <c:pt idx="5">
                  <c:v>-820.29055358291225</c:v>
                </c:pt>
                <c:pt idx="6">
                  <c:v>707.97667122015991</c:v>
                </c:pt>
                <c:pt idx="7">
                  <c:v>-171.81743372342316</c:v>
                </c:pt>
                <c:pt idx="8">
                  <c:v>193.94662221903855</c:v>
                </c:pt>
                <c:pt idx="9">
                  <c:v>-26.805300213942246</c:v>
                </c:pt>
              </c:numCache>
            </c:numRef>
          </c:yVal>
          <c:smooth val="0"/>
          <c:extLst>
            <c:ext xmlns:c16="http://schemas.microsoft.com/office/drawing/2014/chart" uri="{C3380CC4-5D6E-409C-BE32-E72D297353CC}">
              <c16:uniqueId val="{00000001-9765-4DA2-AAB9-3796167D584D}"/>
            </c:ext>
          </c:extLst>
        </c:ser>
        <c:dLbls>
          <c:showLegendKey val="0"/>
          <c:showVal val="0"/>
          <c:showCatName val="0"/>
          <c:showSerName val="0"/>
          <c:showPercent val="0"/>
          <c:showBubbleSize val="0"/>
        </c:dLbls>
        <c:axId val="1150556592"/>
        <c:axId val="1150544944"/>
      </c:scatterChart>
      <c:valAx>
        <c:axId val="115055659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fr-FR"/>
                  <a:t>Bois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fr-FR"/>
            </a:p>
          </c:txPr>
        </c:title>
        <c:numFmt formatCode="0.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150544944"/>
        <c:crosses val="autoZero"/>
        <c:crossBetween val="midCat"/>
      </c:valAx>
      <c:valAx>
        <c:axId val="11505449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fr-FR"/>
                  <a:t>Residuals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fr-FR"/>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150556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fr-FR"/>
              <a:t>Electricité Line Fit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v>Conso, Totales</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xVal>
            <c:numRef>
              <c:f>'Regression multiples'!$C$5:$C$14</c:f>
              <c:numCache>
                <c:formatCode>0.000</c:formatCode>
                <c:ptCount val="10"/>
                <c:pt idx="0">
                  <c:v>0.17</c:v>
                </c:pt>
                <c:pt idx="1">
                  <c:v>0.17</c:v>
                </c:pt>
                <c:pt idx="2">
                  <c:v>0.17299999999999999</c:v>
                </c:pt>
                <c:pt idx="3">
                  <c:v>0.17699999999999999</c:v>
                </c:pt>
                <c:pt idx="4">
                  <c:v>0.185</c:v>
                </c:pt>
                <c:pt idx="5">
                  <c:v>0.19400000000000001</c:v>
                </c:pt>
                <c:pt idx="6">
                  <c:v>0.19800000000000001</c:v>
                </c:pt>
                <c:pt idx="7">
                  <c:v>0.215</c:v>
                </c:pt>
                <c:pt idx="8">
                  <c:v>0.245</c:v>
                </c:pt>
                <c:pt idx="9">
                  <c:v>0.252</c:v>
                </c:pt>
              </c:numCache>
            </c:numRef>
          </c:xVal>
          <c:yVal>
            <c:numRef>
              <c:f>'Regression multiples'!$P$6:$P$15</c:f>
              <c:numCache>
                <c:formatCode>0.00</c:formatCode>
                <c:ptCount val="10"/>
                <c:pt idx="0">
                  <c:v>40562.67</c:v>
                </c:pt>
                <c:pt idx="1">
                  <c:v>42917.77</c:v>
                </c:pt>
                <c:pt idx="2">
                  <c:v>41145.090000000004</c:v>
                </c:pt>
                <c:pt idx="3">
                  <c:v>39601.06</c:v>
                </c:pt>
                <c:pt idx="4">
                  <c:v>38995.11</c:v>
                </c:pt>
                <c:pt idx="5">
                  <c:v>37851.899999999994</c:v>
                </c:pt>
                <c:pt idx="6">
                  <c:v>40038.57</c:v>
                </c:pt>
                <c:pt idx="7">
                  <c:v>33923.599999999999</c:v>
                </c:pt>
                <c:pt idx="8">
                  <c:v>32060.6</c:v>
                </c:pt>
                <c:pt idx="9">
                  <c:v>34059.369349360175</c:v>
                </c:pt>
              </c:numCache>
            </c:numRef>
          </c:yVal>
          <c:smooth val="0"/>
          <c:extLst>
            <c:ext xmlns:c16="http://schemas.microsoft.com/office/drawing/2014/chart" uri="{C3380CC4-5D6E-409C-BE32-E72D297353CC}">
              <c16:uniqueId val="{00000001-056B-4F65-8EE2-A0E5108EBCB0}"/>
            </c:ext>
          </c:extLst>
        </c:ser>
        <c:ser>
          <c:idx val="1"/>
          <c:order val="1"/>
          <c:tx>
            <c:v>Predicted Conso, Totales</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'Regression multiples'!$C$5:$C$14</c:f>
              <c:numCache>
                <c:formatCode>0.000</c:formatCode>
                <c:ptCount val="10"/>
                <c:pt idx="0">
                  <c:v>0.17</c:v>
                </c:pt>
                <c:pt idx="1">
                  <c:v>0.17</c:v>
                </c:pt>
                <c:pt idx="2">
                  <c:v>0.17299999999999999</c:v>
                </c:pt>
                <c:pt idx="3">
                  <c:v>0.17699999999999999</c:v>
                </c:pt>
                <c:pt idx="4">
                  <c:v>0.185</c:v>
                </c:pt>
                <c:pt idx="5">
                  <c:v>0.19400000000000001</c:v>
                </c:pt>
                <c:pt idx="6">
                  <c:v>0.19800000000000001</c:v>
                </c:pt>
                <c:pt idx="7">
                  <c:v>0.215</c:v>
                </c:pt>
                <c:pt idx="8">
                  <c:v>0.245</c:v>
                </c:pt>
                <c:pt idx="9">
                  <c:v>0.252</c:v>
                </c:pt>
              </c:numCache>
            </c:numRef>
          </c:xVal>
          <c:yVal>
            <c:numRef>
              <c:f>'Regression multiples'!$B$45:$B$54</c:f>
              <c:numCache>
                <c:formatCode>0.00</c:formatCode>
                <c:ptCount val="10"/>
                <c:pt idx="0">
                  <c:v>40177.911931833398</c:v>
                </c:pt>
                <c:pt idx="1">
                  <c:v>43164.531144417902</c:v>
                </c:pt>
                <c:pt idx="2">
                  <c:v>40800.882305395651</c:v>
                </c:pt>
                <c:pt idx="3">
                  <c:v>39562.690655095503</c:v>
                </c:pt>
                <c:pt idx="4">
                  <c:v>39398.69396917634</c:v>
                </c:pt>
                <c:pt idx="5">
                  <c:v>38672.190553582906</c:v>
                </c:pt>
                <c:pt idx="6">
                  <c:v>39330.59332877984</c:v>
                </c:pt>
                <c:pt idx="7">
                  <c:v>34095.417433723422</c:v>
                </c:pt>
                <c:pt idx="8">
                  <c:v>31866.65337778096</c:v>
                </c:pt>
                <c:pt idx="9">
                  <c:v>34086.174649574117</c:v>
                </c:pt>
              </c:numCache>
            </c:numRef>
          </c:yVal>
          <c:smooth val="0"/>
          <c:extLst>
            <c:ext xmlns:c16="http://schemas.microsoft.com/office/drawing/2014/chart" uri="{C3380CC4-5D6E-409C-BE32-E72D297353CC}">
              <c16:uniqueId val="{00000002-056B-4F65-8EE2-A0E5108EBCB0}"/>
            </c:ext>
          </c:extLst>
        </c:ser>
        <c:dLbls>
          <c:showLegendKey val="0"/>
          <c:showVal val="0"/>
          <c:showCatName val="0"/>
          <c:showSerName val="0"/>
          <c:showPercent val="0"/>
          <c:showBubbleSize val="0"/>
        </c:dLbls>
        <c:axId val="1150556592"/>
        <c:axId val="1150548272"/>
      </c:scatterChart>
      <c:valAx>
        <c:axId val="1150556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Electricité</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0548272"/>
        <c:crosses val="autoZero"/>
        <c:crossBetween val="midCat"/>
      </c:valAx>
      <c:valAx>
        <c:axId val="115054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Conso, Totales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05565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fr-FR"/>
              <a:t>Gaz natuel Line Fit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v>Conso, Totales</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xVal>
            <c:numRef>
              <c:f>'Regression multiples'!$D$5:$D$14</c:f>
              <c:numCache>
                <c:formatCode>0.000</c:formatCode>
                <c:ptCount val="10"/>
                <c:pt idx="0">
                  <c:v>7.1999999999999995E-2</c:v>
                </c:pt>
                <c:pt idx="1">
                  <c:v>6.6000000000000003E-2</c:v>
                </c:pt>
                <c:pt idx="2">
                  <c:v>6.7000000000000004E-2</c:v>
                </c:pt>
                <c:pt idx="3">
                  <c:v>7.0999999999999994E-2</c:v>
                </c:pt>
                <c:pt idx="4">
                  <c:v>7.9000000000000001E-2</c:v>
                </c:pt>
                <c:pt idx="5">
                  <c:v>7.2999999999999995E-2</c:v>
                </c:pt>
                <c:pt idx="6">
                  <c:v>7.3999999999999996E-2</c:v>
                </c:pt>
                <c:pt idx="7">
                  <c:v>9.2999999999999999E-2</c:v>
                </c:pt>
                <c:pt idx="8">
                  <c:v>0.111</c:v>
                </c:pt>
                <c:pt idx="9">
                  <c:v>0.126</c:v>
                </c:pt>
              </c:numCache>
            </c:numRef>
          </c:xVal>
          <c:yVal>
            <c:numRef>
              <c:f>'Regression multiples'!$P$6:$P$15</c:f>
              <c:numCache>
                <c:formatCode>0.00</c:formatCode>
                <c:ptCount val="10"/>
                <c:pt idx="0">
                  <c:v>40562.67</c:v>
                </c:pt>
                <c:pt idx="1">
                  <c:v>42917.77</c:v>
                </c:pt>
                <c:pt idx="2">
                  <c:v>41145.090000000004</c:v>
                </c:pt>
                <c:pt idx="3">
                  <c:v>39601.06</c:v>
                </c:pt>
                <c:pt idx="4">
                  <c:v>38995.11</c:v>
                </c:pt>
                <c:pt idx="5">
                  <c:v>37851.899999999994</c:v>
                </c:pt>
                <c:pt idx="6">
                  <c:v>40038.57</c:v>
                </c:pt>
                <c:pt idx="7">
                  <c:v>33923.599999999999</c:v>
                </c:pt>
                <c:pt idx="8">
                  <c:v>32060.6</c:v>
                </c:pt>
                <c:pt idx="9">
                  <c:v>34059.369349360175</c:v>
                </c:pt>
              </c:numCache>
            </c:numRef>
          </c:yVal>
          <c:smooth val="0"/>
          <c:extLst>
            <c:ext xmlns:c16="http://schemas.microsoft.com/office/drawing/2014/chart" uri="{C3380CC4-5D6E-409C-BE32-E72D297353CC}">
              <c16:uniqueId val="{00000001-97D3-473C-A637-E859C5F46B07}"/>
            </c:ext>
          </c:extLst>
        </c:ser>
        <c:ser>
          <c:idx val="1"/>
          <c:order val="1"/>
          <c:tx>
            <c:v>Predicted Conso, Totales</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'Regression multiples'!$D$5:$D$14</c:f>
              <c:numCache>
                <c:formatCode>0.000</c:formatCode>
                <c:ptCount val="10"/>
                <c:pt idx="0">
                  <c:v>7.1999999999999995E-2</c:v>
                </c:pt>
                <c:pt idx="1">
                  <c:v>6.6000000000000003E-2</c:v>
                </c:pt>
                <c:pt idx="2">
                  <c:v>6.7000000000000004E-2</c:v>
                </c:pt>
                <c:pt idx="3">
                  <c:v>7.0999999999999994E-2</c:v>
                </c:pt>
                <c:pt idx="4">
                  <c:v>7.9000000000000001E-2</c:v>
                </c:pt>
                <c:pt idx="5">
                  <c:v>7.2999999999999995E-2</c:v>
                </c:pt>
                <c:pt idx="6">
                  <c:v>7.3999999999999996E-2</c:v>
                </c:pt>
                <c:pt idx="7">
                  <c:v>9.2999999999999999E-2</c:v>
                </c:pt>
                <c:pt idx="8">
                  <c:v>0.111</c:v>
                </c:pt>
                <c:pt idx="9">
                  <c:v>0.126</c:v>
                </c:pt>
              </c:numCache>
            </c:numRef>
          </c:xVal>
          <c:yVal>
            <c:numRef>
              <c:f>'Regression multiples'!$B$45:$B$54</c:f>
              <c:numCache>
                <c:formatCode>0.00</c:formatCode>
                <c:ptCount val="10"/>
                <c:pt idx="0">
                  <c:v>40177.911931833398</c:v>
                </c:pt>
                <c:pt idx="1">
                  <c:v>43164.531144417902</c:v>
                </c:pt>
                <c:pt idx="2">
                  <c:v>40800.882305395651</c:v>
                </c:pt>
                <c:pt idx="3">
                  <c:v>39562.690655095503</c:v>
                </c:pt>
                <c:pt idx="4">
                  <c:v>39398.69396917634</c:v>
                </c:pt>
                <c:pt idx="5">
                  <c:v>38672.190553582906</c:v>
                </c:pt>
                <c:pt idx="6">
                  <c:v>39330.59332877984</c:v>
                </c:pt>
                <c:pt idx="7">
                  <c:v>34095.417433723422</c:v>
                </c:pt>
                <c:pt idx="8">
                  <c:v>31866.65337778096</c:v>
                </c:pt>
                <c:pt idx="9">
                  <c:v>34086.174649574117</c:v>
                </c:pt>
              </c:numCache>
            </c:numRef>
          </c:yVal>
          <c:smooth val="0"/>
          <c:extLst>
            <c:ext xmlns:c16="http://schemas.microsoft.com/office/drawing/2014/chart" uri="{C3380CC4-5D6E-409C-BE32-E72D297353CC}">
              <c16:uniqueId val="{00000002-97D3-473C-A637-E859C5F46B07}"/>
            </c:ext>
          </c:extLst>
        </c:ser>
        <c:dLbls>
          <c:showLegendKey val="0"/>
          <c:showVal val="0"/>
          <c:showCatName val="0"/>
          <c:showSerName val="0"/>
          <c:showPercent val="0"/>
          <c:showBubbleSize val="0"/>
        </c:dLbls>
        <c:axId val="1150560752"/>
        <c:axId val="1150542448"/>
      </c:scatterChart>
      <c:valAx>
        <c:axId val="1150560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Gaz natuel</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0542448"/>
        <c:crosses val="autoZero"/>
        <c:crossBetween val="midCat"/>
      </c:valAx>
      <c:valAx>
        <c:axId val="115054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Conso, Totales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05607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ysClr val="window" lastClr="FFFFFF"/>
                </a:solidFill>
                <a:latin typeface="+mn-lt"/>
                <a:ea typeface="+mn-ea"/>
                <a:cs typeface="+mn-cs"/>
              </a:defRPr>
            </a:pPr>
            <a:r>
              <a:rPr lang="en-US" sz="1200" b="0" i="0" baseline="0">
                <a:solidFill>
                  <a:sysClr val="window" lastClr="FFFFFF"/>
                </a:solidFill>
                <a:effectLst/>
              </a:rPr>
              <a:t>Evolution du prix unitaire Electricité en fonction de la consommation </a:t>
            </a:r>
            <a:endParaRPr lang="fr-FR" sz="1100">
              <a:solidFill>
                <a:sysClr val="window" lastClr="FFFFFF"/>
              </a:solidFill>
              <a:effectLst/>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ysClr val="window" lastClr="FFFFFF"/>
              </a:solidFill>
              <a:latin typeface="+mn-lt"/>
              <a:ea typeface="+mn-ea"/>
              <a:cs typeface="+mn-cs"/>
            </a:defRPr>
          </a:pPr>
          <a:endParaRPr lang="fr-FR"/>
        </a:p>
      </c:txPr>
    </c:title>
    <c:autoTitleDeleted val="0"/>
    <c:plotArea>
      <c:layout/>
      <c:scatterChart>
        <c:scatterStyle val="lineMarker"/>
        <c:varyColors val="0"/>
        <c:ser>
          <c:idx val="0"/>
          <c:order val="0"/>
          <c:tx>
            <c:strRef>
              <c:f>Données1!$C$3</c:f>
              <c:strCache>
                <c:ptCount val="1"/>
                <c:pt idx="0">
                  <c:v>Gaz natuel</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trendline>
            <c:spPr>
              <a:ln w="28575" cap="rnd">
                <a:solidFill>
                  <a:schemeClr val="lt1">
                    <a:alpha val="50000"/>
                  </a:schemeClr>
                </a:solidFill>
                <a:round/>
              </a:ln>
              <a:effectLst/>
            </c:spPr>
            <c:trendlineType val="linear"/>
            <c:dispRSqr val="1"/>
            <c:dispEq val="1"/>
            <c:trendlineLbl>
              <c:layout>
                <c:manualLayout>
                  <c:x val="-0.38061138122873445"/>
                  <c:y val="-0.1469998393058010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r-FR"/>
                </a:p>
              </c:txPr>
            </c:trendlineLbl>
          </c:trendline>
          <c:xVal>
            <c:numRef>
              <c:f>Données1!$C$4:$C$13</c:f>
              <c:numCache>
                <c:formatCode>0.000</c:formatCode>
                <c:ptCount val="10"/>
                <c:pt idx="0">
                  <c:v>7.1999999999999995E-2</c:v>
                </c:pt>
                <c:pt idx="1">
                  <c:v>6.6000000000000003E-2</c:v>
                </c:pt>
                <c:pt idx="2">
                  <c:v>6.7000000000000004E-2</c:v>
                </c:pt>
                <c:pt idx="3">
                  <c:v>7.0999999999999994E-2</c:v>
                </c:pt>
                <c:pt idx="4">
                  <c:v>7.9000000000000001E-2</c:v>
                </c:pt>
                <c:pt idx="5">
                  <c:v>7.2999999999999995E-2</c:v>
                </c:pt>
                <c:pt idx="6">
                  <c:v>7.3999999999999996E-2</c:v>
                </c:pt>
                <c:pt idx="7">
                  <c:v>9.2999999999999999E-2</c:v>
                </c:pt>
                <c:pt idx="8">
                  <c:v>0.111</c:v>
                </c:pt>
                <c:pt idx="9">
                  <c:v>0.126</c:v>
                </c:pt>
              </c:numCache>
            </c:numRef>
          </c:xVal>
          <c:yVal>
            <c:numRef>
              <c:f>Données1!$L$4:$L$13</c:f>
              <c:numCache>
                <c:formatCode>General</c:formatCode>
                <c:ptCount val="10"/>
                <c:pt idx="0">
                  <c:v>12767.22</c:v>
                </c:pt>
                <c:pt idx="1">
                  <c:v>13720.36</c:v>
                </c:pt>
                <c:pt idx="2">
                  <c:v>13196.27</c:v>
                </c:pt>
                <c:pt idx="3">
                  <c:v>12733.35</c:v>
                </c:pt>
                <c:pt idx="4">
                  <c:v>12485.89</c:v>
                </c:pt>
                <c:pt idx="5">
                  <c:v>12204.55</c:v>
                </c:pt>
                <c:pt idx="6">
                  <c:v>12789.8</c:v>
                </c:pt>
                <c:pt idx="7">
                  <c:v>10402.709999999999</c:v>
                </c:pt>
                <c:pt idx="8" formatCode="0.00">
                  <c:v>9316.9</c:v>
                </c:pt>
                <c:pt idx="9">
                  <c:v>9973.65</c:v>
                </c:pt>
              </c:numCache>
            </c:numRef>
          </c:yVal>
          <c:smooth val="0"/>
          <c:extLst>
            <c:ext xmlns:c16="http://schemas.microsoft.com/office/drawing/2014/chart" uri="{C3380CC4-5D6E-409C-BE32-E72D297353CC}">
              <c16:uniqueId val="{00000002-6CF9-4E46-B22C-26FE5DB25DFE}"/>
            </c:ext>
          </c:extLst>
        </c:ser>
        <c:dLbls>
          <c:showLegendKey val="0"/>
          <c:showVal val="0"/>
          <c:showCatName val="0"/>
          <c:showSerName val="0"/>
          <c:showPercent val="0"/>
          <c:showBubbleSize val="0"/>
        </c:dLbls>
        <c:axId val="444640639"/>
        <c:axId val="174641807"/>
      </c:scatterChart>
      <c:valAx>
        <c:axId val="444640639"/>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fr-FR"/>
                  <a:t>Consommation du gaz naturel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fr-FR"/>
            </a:p>
          </c:txPr>
        </c:title>
        <c:numFmt formatCode="0.000"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fr-FR"/>
          </a:p>
        </c:txPr>
        <c:crossAx val="174641807"/>
        <c:crosses val="autoZero"/>
        <c:crossBetween val="midCat"/>
      </c:valAx>
      <c:valAx>
        <c:axId val="174641807"/>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fr-FR"/>
                  <a:t>Prix unitaire</a:t>
                </a:r>
                <a:r>
                  <a:rPr lang="fr-FR" baseline="0"/>
                  <a:t> du gaz</a:t>
                </a:r>
                <a:r>
                  <a:rPr lang="fr-FR"/>
                  <a:t> </a:t>
                </a:r>
                <a:r>
                  <a:rPr lang="fr-FR" baseline="0"/>
                  <a:t> naturel</a:t>
                </a:r>
                <a:endParaRPr lang="fr-FR"/>
              </a:p>
            </c:rich>
          </c:tx>
          <c:layout>
            <c:manualLayout>
              <c:xMode val="edge"/>
              <c:yMode val="edge"/>
              <c:x val="2.7777777777777776E-2"/>
              <c:y val="0.2801082677165354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r-FR"/>
          </a:p>
        </c:txPr>
        <c:crossAx val="44464063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fr-FR"/>
              <a:t>Fioul domestique Line Fit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6005172524166187"/>
          <c:y val="0.26936104298438107"/>
          <c:w val="0.59935994983781693"/>
          <c:h val="0.32239834774751525"/>
        </c:manualLayout>
      </c:layout>
      <c:scatterChart>
        <c:scatterStyle val="lineMarker"/>
        <c:varyColors val="0"/>
        <c:ser>
          <c:idx val="0"/>
          <c:order val="0"/>
          <c:tx>
            <c:v>Conso, Totales</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xVal>
            <c:numRef>
              <c:f>'Regression multiples'!$E$5:$E$14</c:f>
              <c:numCache>
                <c:formatCode>0.000</c:formatCode>
                <c:ptCount val="10"/>
                <c:pt idx="0">
                  <c:v>7.2999999999999995E-2</c:v>
                </c:pt>
                <c:pt idx="1">
                  <c:v>6.5000000000000002E-2</c:v>
                </c:pt>
                <c:pt idx="2">
                  <c:v>7.5999999999999998E-2</c:v>
                </c:pt>
                <c:pt idx="3">
                  <c:v>9.2999999999999999E-2</c:v>
                </c:pt>
                <c:pt idx="4">
                  <c:v>9.5000000000000001E-2</c:v>
                </c:pt>
                <c:pt idx="5">
                  <c:v>7.8E-2</c:v>
                </c:pt>
                <c:pt idx="6">
                  <c:v>9.0999999999999998E-2</c:v>
                </c:pt>
                <c:pt idx="7">
                  <c:v>0.14899999999999999</c:v>
                </c:pt>
                <c:pt idx="8">
                  <c:v>0.129</c:v>
                </c:pt>
                <c:pt idx="9">
                  <c:v>0.123</c:v>
                </c:pt>
              </c:numCache>
            </c:numRef>
          </c:xVal>
          <c:yVal>
            <c:numRef>
              <c:f>'Regression multiples'!$P$6:$P$15</c:f>
              <c:numCache>
                <c:formatCode>0.00</c:formatCode>
                <c:ptCount val="10"/>
                <c:pt idx="0">
                  <c:v>40562.67</c:v>
                </c:pt>
                <c:pt idx="1">
                  <c:v>42917.77</c:v>
                </c:pt>
                <c:pt idx="2">
                  <c:v>41145.090000000004</c:v>
                </c:pt>
                <c:pt idx="3">
                  <c:v>39601.06</c:v>
                </c:pt>
                <c:pt idx="4">
                  <c:v>38995.11</c:v>
                </c:pt>
                <c:pt idx="5">
                  <c:v>37851.899999999994</c:v>
                </c:pt>
                <c:pt idx="6">
                  <c:v>40038.57</c:v>
                </c:pt>
                <c:pt idx="7">
                  <c:v>33923.599999999999</c:v>
                </c:pt>
                <c:pt idx="8">
                  <c:v>32060.6</c:v>
                </c:pt>
                <c:pt idx="9">
                  <c:v>34059.369349360175</c:v>
                </c:pt>
              </c:numCache>
            </c:numRef>
          </c:yVal>
          <c:smooth val="0"/>
          <c:extLst>
            <c:ext xmlns:c16="http://schemas.microsoft.com/office/drawing/2014/chart" uri="{C3380CC4-5D6E-409C-BE32-E72D297353CC}">
              <c16:uniqueId val="{00000001-B213-4295-BCFA-AAD4F75EDB67}"/>
            </c:ext>
          </c:extLst>
        </c:ser>
        <c:ser>
          <c:idx val="1"/>
          <c:order val="1"/>
          <c:tx>
            <c:v>Predicted Conso, Totales</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'Regression multiples'!$E$5:$E$14</c:f>
              <c:numCache>
                <c:formatCode>0.000</c:formatCode>
                <c:ptCount val="10"/>
                <c:pt idx="0">
                  <c:v>7.2999999999999995E-2</c:v>
                </c:pt>
                <c:pt idx="1">
                  <c:v>6.5000000000000002E-2</c:v>
                </c:pt>
                <c:pt idx="2">
                  <c:v>7.5999999999999998E-2</c:v>
                </c:pt>
                <c:pt idx="3">
                  <c:v>9.2999999999999999E-2</c:v>
                </c:pt>
                <c:pt idx="4">
                  <c:v>9.5000000000000001E-2</c:v>
                </c:pt>
                <c:pt idx="5">
                  <c:v>7.8E-2</c:v>
                </c:pt>
                <c:pt idx="6">
                  <c:v>9.0999999999999998E-2</c:v>
                </c:pt>
                <c:pt idx="7">
                  <c:v>0.14899999999999999</c:v>
                </c:pt>
                <c:pt idx="8">
                  <c:v>0.129</c:v>
                </c:pt>
                <c:pt idx="9">
                  <c:v>0.123</c:v>
                </c:pt>
              </c:numCache>
            </c:numRef>
          </c:xVal>
          <c:yVal>
            <c:numRef>
              <c:f>'Regression multiples'!$B$45:$B$54</c:f>
              <c:numCache>
                <c:formatCode>0.00</c:formatCode>
                <c:ptCount val="10"/>
                <c:pt idx="0">
                  <c:v>40177.911931833398</c:v>
                </c:pt>
                <c:pt idx="1">
                  <c:v>43164.531144417902</c:v>
                </c:pt>
                <c:pt idx="2">
                  <c:v>40800.882305395651</c:v>
                </c:pt>
                <c:pt idx="3">
                  <c:v>39562.690655095503</c:v>
                </c:pt>
                <c:pt idx="4">
                  <c:v>39398.69396917634</c:v>
                </c:pt>
                <c:pt idx="5">
                  <c:v>38672.190553582906</c:v>
                </c:pt>
                <c:pt idx="6">
                  <c:v>39330.59332877984</c:v>
                </c:pt>
                <c:pt idx="7">
                  <c:v>34095.417433723422</c:v>
                </c:pt>
                <c:pt idx="8">
                  <c:v>31866.65337778096</c:v>
                </c:pt>
                <c:pt idx="9">
                  <c:v>34086.174649574117</c:v>
                </c:pt>
              </c:numCache>
            </c:numRef>
          </c:yVal>
          <c:smooth val="0"/>
          <c:extLst>
            <c:ext xmlns:c16="http://schemas.microsoft.com/office/drawing/2014/chart" uri="{C3380CC4-5D6E-409C-BE32-E72D297353CC}">
              <c16:uniqueId val="{00000002-B213-4295-BCFA-AAD4F75EDB67}"/>
            </c:ext>
          </c:extLst>
        </c:ser>
        <c:dLbls>
          <c:showLegendKey val="0"/>
          <c:showVal val="0"/>
          <c:showCatName val="0"/>
          <c:showSerName val="0"/>
          <c:showPercent val="0"/>
          <c:showBubbleSize val="0"/>
        </c:dLbls>
        <c:axId val="1150542032"/>
        <c:axId val="1150539536"/>
      </c:scatterChart>
      <c:valAx>
        <c:axId val="1150542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Fioul domestique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0539536"/>
        <c:crosses val="autoZero"/>
        <c:crossBetween val="midCat"/>
      </c:valAx>
      <c:valAx>
        <c:axId val="115053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Conso, Totales</a:t>
                </a:r>
              </a:p>
            </c:rich>
          </c:tx>
          <c:layout>
            <c:manualLayout>
              <c:xMode val="edge"/>
              <c:yMode val="edge"/>
              <c:x val="5.1784495544488794E-2"/>
              <c:y val="0.2851829095133600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05420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fr-FR"/>
              <a:t>Petrole  Line Fit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v>Conso, Totales</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xVal>
            <c:numRef>
              <c:f>'Regression multiples'!$F$5:$F$14</c:f>
              <c:numCache>
                <c:formatCode>0.000</c:formatCode>
                <c:ptCount val="10"/>
                <c:pt idx="0">
                  <c:v>0.127</c:v>
                </c:pt>
                <c:pt idx="1">
                  <c:v>0.11799999999999999</c:v>
                </c:pt>
                <c:pt idx="2">
                  <c:v>0.13200000000000001</c:v>
                </c:pt>
                <c:pt idx="3">
                  <c:v>0.14299999999999999</c:v>
                </c:pt>
                <c:pt idx="4">
                  <c:v>0.14199999999999999</c:v>
                </c:pt>
                <c:pt idx="5">
                  <c:v>0.14499999999999999</c:v>
                </c:pt>
                <c:pt idx="6">
                  <c:v>0.14899999999999999</c:v>
                </c:pt>
                <c:pt idx="7">
                  <c:v>0.16</c:v>
                </c:pt>
                <c:pt idx="8">
                  <c:v>0.16600000000000001</c:v>
                </c:pt>
                <c:pt idx="9">
                  <c:v>0.17199999999999999</c:v>
                </c:pt>
              </c:numCache>
            </c:numRef>
          </c:xVal>
          <c:yVal>
            <c:numRef>
              <c:f>'Regression multiples'!$P$6:$P$15</c:f>
              <c:numCache>
                <c:formatCode>0.00</c:formatCode>
                <c:ptCount val="10"/>
                <c:pt idx="0">
                  <c:v>40562.67</c:v>
                </c:pt>
                <c:pt idx="1">
                  <c:v>42917.77</c:v>
                </c:pt>
                <c:pt idx="2">
                  <c:v>41145.090000000004</c:v>
                </c:pt>
                <c:pt idx="3">
                  <c:v>39601.06</c:v>
                </c:pt>
                <c:pt idx="4">
                  <c:v>38995.11</c:v>
                </c:pt>
                <c:pt idx="5">
                  <c:v>37851.899999999994</c:v>
                </c:pt>
                <c:pt idx="6">
                  <c:v>40038.57</c:v>
                </c:pt>
                <c:pt idx="7">
                  <c:v>33923.599999999999</c:v>
                </c:pt>
                <c:pt idx="8">
                  <c:v>32060.6</c:v>
                </c:pt>
                <c:pt idx="9">
                  <c:v>34059.369349360175</c:v>
                </c:pt>
              </c:numCache>
            </c:numRef>
          </c:yVal>
          <c:smooth val="0"/>
          <c:extLst>
            <c:ext xmlns:c16="http://schemas.microsoft.com/office/drawing/2014/chart" uri="{C3380CC4-5D6E-409C-BE32-E72D297353CC}">
              <c16:uniqueId val="{00000001-6FFA-44C0-974D-B2B50EBDAD34}"/>
            </c:ext>
          </c:extLst>
        </c:ser>
        <c:ser>
          <c:idx val="1"/>
          <c:order val="1"/>
          <c:tx>
            <c:v>Predicted Conso, Totales</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'Regression multiples'!$F$5:$F$14</c:f>
              <c:numCache>
                <c:formatCode>0.000</c:formatCode>
                <c:ptCount val="10"/>
                <c:pt idx="0">
                  <c:v>0.127</c:v>
                </c:pt>
                <c:pt idx="1">
                  <c:v>0.11799999999999999</c:v>
                </c:pt>
                <c:pt idx="2">
                  <c:v>0.13200000000000001</c:v>
                </c:pt>
                <c:pt idx="3">
                  <c:v>0.14299999999999999</c:v>
                </c:pt>
                <c:pt idx="4">
                  <c:v>0.14199999999999999</c:v>
                </c:pt>
                <c:pt idx="5">
                  <c:v>0.14499999999999999</c:v>
                </c:pt>
                <c:pt idx="6">
                  <c:v>0.14899999999999999</c:v>
                </c:pt>
                <c:pt idx="7">
                  <c:v>0.16</c:v>
                </c:pt>
                <c:pt idx="8">
                  <c:v>0.16600000000000001</c:v>
                </c:pt>
                <c:pt idx="9">
                  <c:v>0.17199999999999999</c:v>
                </c:pt>
              </c:numCache>
            </c:numRef>
          </c:xVal>
          <c:yVal>
            <c:numRef>
              <c:f>'Regression multiples'!$B$45:$B$54</c:f>
              <c:numCache>
                <c:formatCode>0.00</c:formatCode>
                <c:ptCount val="10"/>
                <c:pt idx="0">
                  <c:v>40177.911931833398</c:v>
                </c:pt>
                <c:pt idx="1">
                  <c:v>43164.531144417902</c:v>
                </c:pt>
                <c:pt idx="2">
                  <c:v>40800.882305395651</c:v>
                </c:pt>
                <c:pt idx="3">
                  <c:v>39562.690655095503</c:v>
                </c:pt>
                <c:pt idx="4">
                  <c:v>39398.69396917634</c:v>
                </c:pt>
                <c:pt idx="5">
                  <c:v>38672.190553582906</c:v>
                </c:pt>
                <c:pt idx="6">
                  <c:v>39330.59332877984</c:v>
                </c:pt>
                <c:pt idx="7">
                  <c:v>34095.417433723422</c:v>
                </c:pt>
                <c:pt idx="8">
                  <c:v>31866.65337778096</c:v>
                </c:pt>
                <c:pt idx="9">
                  <c:v>34086.174649574117</c:v>
                </c:pt>
              </c:numCache>
            </c:numRef>
          </c:yVal>
          <c:smooth val="0"/>
          <c:extLst>
            <c:ext xmlns:c16="http://schemas.microsoft.com/office/drawing/2014/chart" uri="{C3380CC4-5D6E-409C-BE32-E72D297353CC}">
              <c16:uniqueId val="{00000002-6FFA-44C0-974D-B2B50EBDAD34}"/>
            </c:ext>
          </c:extLst>
        </c:ser>
        <c:dLbls>
          <c:showLegendKey val="0"/>
          <c:showVal val="0"/>
          <c:showCatName val="0"/>
          <c:showSerName val="0"/>
          <c:showPercent val="0"/>
          <c:showBubbleSize val="0"/>
        </c:dLbls>
        <c:axId val="1150544528"/>
        <c:axId val="1150555344"/>
      </c:scatterChart>
      <c:valAx>
        <c:axId val="11505445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Petrole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0555344"/>
        <c:crosses val="autoZero"/>
        <c:crossBetween val="midCat"/>
      </c:valAx>
      <c:valAx>
        <c:axId val="115055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Conso, Totales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05445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fr-FR"/>
              <a:t>Bois Line Fit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v>Conso, Totales</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xVal>
            <c:numRef>
              <c:f>'Regression multiples'!$G$5:$G$14</c:f>
              <c:numCache>
                <c:formatCode>0.000</c:formatCode>
                <c:ptCount val="10"/>
                <c:pt idx="0">
                  <c:v>6.0999999999999999E-2</c:v>
                </c:pt>
                <c:pt idx="1">
                  <c:v>0.06</c:v>
                </c:pt>
                <c:pt idx="2">
                  <c:v>0.06</c:v>
                </c:pt>
                <c:pt idx="3">
                  <c:v>6.0999999999999999E-2</c:v>
                </c:pt>
                <c:pt idx="4">
                  <c:v>6.4000000000000001E-2</c:v>
                </c:pt>
                <c:pt idx="5">
                  <c:v>6.5000000000000002E-2</c:v>
                </c:pt>
                <c:pt idx="6">
                  <c:v>6.7000000000000004E-2</c:v>
                </c:pt>
                <c:pt idx="7">
                  <c:v>0.107</c:v>
                </c:pt>
                <c:pt idx="8">
                  <c:v>0.106</c:v>
                </c:pt>
                <c:pt idx="9">
                  <c:v>7.9000000000000001E-2</c:v>
                </c:pt>
              </c:numCache>
            </c:numRef>
          </c:xVal>
          <c:yVal>
            <c:numRef>
              <c:f>'Regression multiples'!$P$6:$P$15</c:f>
              <c:numCache>
                <c:formatCode>0.00</c:formatCode>
                <c:ptCount val="10"/>
                <c:pt idx="0">
                  <c:v>40562.67</c:v>
                </c:pt>
                <c:pt idx="1">
                  <c:v>42917.77</c:v>
                </c:pt>
                <c:pt idx="2">
                  <c:v>41145.090000000004</c:v>
                </c:pt>
                <c:pt idx="3">
                  <c:v>39601.06</c:v>
                </c:pt>
                <c:pt idx="4">
                  <c:v>38995.11</c:v>
                </c:pt>
                <c:pt idx="5">
                  <c:v>37851.899999999994</c:v>
                </c:pt>
                <c:pt idx="6">
                  <c:v>40038.57</c:v>
                </c:pt>
                <c:pt idx="7">
                  <c:v>33923.599999999999</c:v>
                </c:pt>
                <c:pt idx="8">
                  <c:v>32060.6</c:v>
                </c:pt>
                <c:pt idx="9">
                  <c:v>34059.369349360175</c:v>
                </c:pt>
              </c:numCache>
            </c:numRef>
          </c:yVal>
          <c:smooth val="0"/>
          <c:extLst>
            <c:ext xmlns:c16="http://schemas.microsoft.com/office/drawing/2014/chart" uri="{C3380CC4-5D6E-409C-BE32-E72D297353CC}">
              <c16:uniqueId val="{00000001-58EA-454C-AA69-54D66BB1CE34}"/>
            </c:ext>
          </c:extLst>
        </c:ser>
        <c:ser>
          <c:idx val="1"/>
          <c:order val="1"/>
          <c:tx>
            <c:v>Predicted Conso, Totales</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'Regression multiples'!$G$5:$G$14</c:f>
              <c:numCache>
                <c:formatCode>0.000</c:formatCode>
                <c:ptCount val="10"/>
                <c:pt idx="0">
                  <c:v>6.0999999999999999E-2</c:v>
                </c:pt>
                <c:pt idx="1">
                  <c:v>0.06</c:v>
                </c:pt>
                <c:pt idx="2">
                  <c:v>0.06</c:v>
                </c:pt>
                <c:pt idx="3">
                  <c:v>6.0999999999999999E-2</c:v>
                </c:pt>
                <c:pt idx="4">
                  <c:v>6.4000000000000001E-2</c:v>
                </c:pt>
                <c:pt idx="5">
                  <c:v>6.5000000000000002E-2</c:v>
                </c:pt>
                <c:pt idx="6">
                  <c:v>6.7000000000000004E-2</c:v>
                </c:pt>
                <c:pt idx="7">
                  <c:v>0.107</c:v>
                </c:pt>
                <c:pt idx="8">
                  <c:v>0.106</c:v>
                </c:pt>
                <c:pt idx="9">
                  <c:v>7.9000000000000001E-2</c:v>
                </c:pt>
              </c:numCache>
            </c:numRef>
          </c:xVal>
          <c:yVal>
            <c:numRef>
              <c:f>'Regression multiples'!$B$45:$B$54</c:f>
              <c:numCache>
                <c:formatCode>0.00</c:formatCode>
                <c:ptCount val="10"/>
                <c:pt idx="0">
                  <c:v>40177.911931833398</c:v>
                </c:pt>
                <c:pt idx="1">
                  <c:v>43164.531144417902</c:v>
                </c:pt>
                <c:pt idx="2">
                  <c:v>40800.882305395651</c:v>
                </c:pt>
                <c:pt idx="3">
                  <c:v>39562.690655095503</c:v>
                </c:pt>
                <c:pt idx="4">
                  <c:v>39398.69396917634</c:v>
                </c:pt>
                <c:pt idx="5">
                  <c:v>38672.190553582906</c:v>
                </c:pt>
                <c:pt idx="6">
                  <c:v>39330.59332877984</c:v>
                </c:pt>
                <c:pt idx="7">
                  <c:v>34095.417433723422</c:v>
                </c:pt>
                <c:pt idx="8">
                  <c:v>31866.65337778096</c:v>
                </c:pt>
                <c:pt idx="9">
                  <c:v>34086.174649574117</c:v>
                </c:pt>
              </c:numCache>
            </c:numRef>
          </c:yVal>
          <c:smooth val="0"/>
          <c:extLst>
            <c:ext xmlns:c16="http://schemas.microsoft.com/office/drawing/2014/chart" uri="{C3380CC4-5D6E-409C-BE32-E72D297353CC}">
              <c16:uniqueId val="{00000002-58EA-454C-AA69-54D66BB1CE34}"/>
            </c:ext>
          </c:extLst>
        </c:ser>
        <c:dLbls>
          <c:showLegendKey val="0"/>
          <c:showVal val="0"/>
          <c:showCatName val="0"/>
          <c:showSerName val="0"/>
          <c:showPercent val="0"/>
          <c:showBubbleSize val="0"/>
        </c:dLbls>
        <c:axId val="1150540784"/>
        <c:axId val="1150547024"/>
      </c:scatterChart>
      <c:valAx>
        <c:axId val="1150540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Bois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0547024"/>
        <c:crosses val="autoZero"/>
        <c:crossBetween val="midCat"/>
      </c:valAx>
      <c:valAx>
        <c:axId val="115054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Conso, Totales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05407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fr-FR"/>
              <a:t>Normal Probability Plot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lotArea>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xVal>
            <c:numRef>
              <c:f>'Regression multiples'!$F$45:$F$54</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'Regression multiples'!$G$45:$G$54</c:f>
              <c:numCache>
                <c:formatCode>General</c:formatCode>
                <c:ptCount val="10"/>
                <c:pt idx="0">
                  <c:v>32060.6</c:v>
                </c:pt>
                <c:pt idx="1">
                  <c:v>33923.599999999999</c:v>
                </c:pt>
                <c:pt idx="2">
                  <c:v>34059.369349360175</c:v>
                </c:pt>
                <c:pt idx="3">
                  <c:v>37851.899999999994</c:v>
                </c:pt>
                <c:pt idx="4">
                  <c:v>38995.11</c:v>
                </c:pt>
                <c:pt idx="5">
                  <c:v>39601.06</c:v>
                </c:pt>
                <c:pt idx="6">
                  <c:v>40038.57</c:v>
                </c:pt>
                <c:pt idx="7">
                  <c:v>40562.67</c:v>
                </c:pt>
                <c:pt idx="8">
                  <c:v>41145.090000000004</c:v>
                </c:pt>
                <c:pt idx="9">
                  <c:v>42917.77</c:v>
                </c:pt>
              </c:numCache>
            </c:numRef>
          </c:yVal>
          <c:smooth val="0"/>
          <c:extLst>
            <c:ext xmlns:c16="http://schemas.microsoft.com/office/drawing/2014/chart" uri="{C3380CC4-5D6E-409C-BE32-E72D297353CC}">
              <c16:uniqueId val="{00000001-F4C5-401C-B2A7-1AA86B845945}"/>
            </c:ext>
          </c:extLst>
        </c:ser>
        <c:dLbls>
          <c:showLegendKey val="0"/>
          <c:showVal val="0"/>
          <c:showCatName val="0"/>
          <c:showSerName val="0"/>
          <c:showPercent val="0"/>
          <c:showBubbleSize val="0"/>
        </c:dLbls>
        <c:axId val="1111328608"/>
        <c:axId val="1111344000"/>
      </c:scatterChart>
      <c:valAx>
        <c:axId val="1111328608"/>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lt1"/>
                    </a:solidFill>
                    <a:latin typeface="+mn-lt"/>
                    <a:ea typeface="+mn-ea"/>
                    <a:cs typeface="+mn-cs"/>
                  </a:defRPr>
                </a:pPr>
                <a:r>
                  <a:rPr lang="fr-FR" sz="1400"/>
                  <a:t>Sample Percentile</a:t>
                </a:r>
              </a:p>
            </c:rich>
          </c:tx>
          <c:layout>
            <c:manualLayout>
              <c:xMode val="edge"/>
              <c:yMode val="edge"/>
              <c:x val="0.47117352735971296"/>
              <c:y val="0.8192765938970928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lt1"/>
                  </a:solidFill>
                  <a:latin typeface="+mn-lt"/>
                  <a:ea typeface="+mn-ea"/>
                  <a:cs typeface="+mn-cs"/>
                </a:defRPr>
              </a:pPr>
              <a:endParaRPr lang="fr-FR"/>
            </a:p>
          </c:txPr>
        </c:title>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fr-FR"/>
          </a:p>
        </c:txPr>
        <c:crossAx val="1111344000"/>
        <c:crosses val="autoZero"/>
        <c:crossBetween val="midCat"/>
      </c:valAx>
      <c:valAx>
        <c:axId val="1111344000"/>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lt1"/>
                    </a:solidFill>
                    <a:latin typeface="+mn-lt"/>
                    <a:ea typeface="+mn-ea"/>
                    <a:cs typeface="+mn-cs"/>
                  </a:defRPr>
                </a:pPr>
                <a:r>
                  <a:rPr lang="fr-FR" sz="1200"/>
                  <a:t>Conso, Totales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r-FR"/>
          </a:p>
        </c:txPr>
        <c:crossAx val="1111328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800" b="1" i="0" baseline="0">
                <a:effectLst/>
              </a:rPr>
              <a:t>Evolution du prix unitaire du fioul en fonction de la consommation </a:t>
            </a:r>
            <a:endParaRPr lang="fr-FR" b="1">
              <a:effectLst/>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fr-FR"/>
        </a:p>
      </c:txPr>
    </c:title>
    <c:autoTitleDeleted val="0"/>
    <c:plotArea>
      <c:layout/>
      <c:scatterChart>
        <c:scatterStyle val="lineMarker"/>
        <c:varyColors val="0"/>
        <c:ser>
          <c:idx val="0"/>
          <c:order val="0"/>
          <c:tx>
            <c:strRef>
              <c:f>Données1!$D$3</c:f>
              <c:strCache>
                <c:ptCount val="1"/>
                <c:pt idx="0">
                  <c:v>Fioul domestique</c:v>
                </c:pt>
              </c:strCache>
            </c:strRef>
          </c:tx>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1"/>
            <c:dispEq val="1"/>
            <c:trendlineLbl>
              <c:layout>
                <c:manualLayout>
                  <c:x val="-0.16480074365704281"/>
                  <c:y val="-1.47597696121318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rendlineLbl>
          </c:trendline>
          <c:xVal>
            <c:numRef>
              <c:f>Données1!$D$4:$D$13</c:f>
              <c:numCache>
                <c:formatCode>0.000</c:formatCode>
                <c:ptCount val="10"/>
                <c:pt idx="0">
                  <c:v>7.2999999999999995E-2</c:v>
                </c:pt>
                <c:pt idx="1">
                  <c:v>6.5000000000000002E-2</c:v>
                </c:pt>
                <c:pt idx="2">
                  <c:v>7.5999999999999998E-2</c:v>
                </c:pt>
                <c:pt idx="3">
                  <c:v>9.2999999999999999E-2</c:v>
                </c:pt>
                <c:pt idx="4">
                  <c:v>9.5000000000000001E-2</c:v>
                </c:pt>
                <c:pt idx="5">
                  <c:v>7.8E-2</c:v>
                </c:pt>
                <c:pt idx="6">
                  <c:v>9.0999999999999998E-2</c:v>
                </c:pt>
                <c:pt idx="7">
                  <c:v>0.14899999999999999</c:v>
                </c:pt>
                <c:pt idx="8">
                  <c:v>0.129</c:v>
                </c:pt>
                <c:pt idx="9">
                  <c:v>0.123</c:v>
                </c:pt>
              </c:numCache>
            </c:numRef>
          </c:xVal>
          <c:yVal>
            <c:numRef>
              <c:f>Données1!$M$4:$M$13</c:f>
              <c:numCache>
                <c:formatCode>General</c:formatCode>
                <c:ptCount val="10"/>
                <c:pt idx="0">
                  <c:v>5216.41</c:v>
                </c:pt>
                <c:pt idx="1">
                  <c:v>5460.11</c:v>
                </c:pt>
                <c:pt idx="2">
                  <c:v>5217.3500000000004</c:v>
                </c:pt>
                <c:pt idx="3">
                  <c:v>4788.3</c:v>
                </c:pt>
                <c:pt idx="4">
                  <c:v>4617.99</c:v>
                </c:pt>
                <c:pt idx="5">
                  <c:v>4235.9799999999996</c:v>
                </c:pt>
                <c:pt idx="6">
                  <c:v>4413.8100000000004</c:v>
                </c:pt>
                <c:pt idx="7">
                  <c:v>3211.33</c:v>
                </c:pt>
                <c:pt idx="8">
                  <c:v>2875.42</c:v>
                </c:pt>
                <c:pt idx="9" formatCode="0.00">
                  <c:v>3954.6480993601808</c:v>
                </c:pt>
              </c:numCache>
            </c:numRef>
          </c:yVal>
          <c:smooth val="0"/>
          <c:extLst>
            <c:ext xmlns:c16="http://schemas.microsoft.com/office/drawing/2014/chart" uri="{C3380CC4-5D6E-409C-BE32-E72D297353CC}">
              <c16:uniqueId val="{00000000-E03E-4A55-87F5-F36DD539E0B1}"/>
            </c:ext>
          </c:extLst>
        </c:ser>
        <c:dLbls>
          <c:showLegendKey val="0"/>
          <c:showVal val="0"/>
          <c:showCatName val="0"/>
          <c:showSerName val="0"/>
          <c:showPercent val="0"/>
          <c:showBubbleSize val="0"/>
        </c:dLbls>
        <c:axId val="522012943"/>
        <c:axId val="522033743"/>
      </c:scatterChart>
      <c:valAx>
        <c:axId val="522012943"/>
        <c:scaling>
          <c:orientation val="minMax"/>
        </c:scaling>
        <c:delete val="0"/>
        <c:axPos val="b"/>
        <c:majorGridlines>
          <c:spPr>
            <a:ln w="9525" cap="flat" cmpd="sng" algn="ctr">
              <a:solidFill>
                <a:schemeClr val="dk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fr-FR"/>
          </a:p>
        </c:txPr>
        <c:crossAx val="522033743"/>
        <c:crosses val="autoZero"/>
        <c:crossBetween val="midCat"/>
      </c:valAx>
      <c:valAx>
        <c:axId val="522033743"/>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522012943"/>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600" b="0" i="0" baseline="0">
                <a:effectLst/>
              </a:rPr>
              <a:t>Evolution du prix unitaire du pétrole en fonction de la consommation </a:t>
            </a:r>
            <a:endParaRPr lang="fr-FR" sz="1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a:t> </a:t>
            </a:r>
          </a:p>
        </c:rich>
      </c:tx>
      <c:layout>
        <c:manualLayout>
          <c:xMode val="edge"/>
          <c:yMode val="edge"/>
          <c:x val="0.11874300087489063"/>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fr-FR"/>
        </a:p>
      </c:txPr>
    </c:title>
    <c:autoTitleDeleted val="0"/>
    <c:plotArea>
      <c:layout>
        <c:manualLayout>
          <c:layoutTarget val="inner"/>
          <c:xMode val="edge"/>
          <c:yMode val="edge"/>
          <c:x val="9.7476815398075234E-2"/>
          <c:y val="0.34270888013998252"/>
          <c:w val="0.85740507436570423"/>
          <c:h val="0.46655839895013124"/>
        </c:manualLayout>
      </c:layout>
      <c:scatterChart>
        <c:scatterStyle val="lineMarker"/>
        <c:varyColors val="0"/>
        <c:ser>
          <c:idx val="0"/>
          <c:order val="0"/>
          <c:tx>
            <c:strRef>
              <c:f>Données1!$E$3</c:f>
              <c:strCache>
                <c:ptCount val="1"/>
                <c:pt idx="0">
                  <c:v>Petrole </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1"/>
            <c:dispEq val="1"/>
            <c:trendlineLbl>
              <c:layout>
                <c:manualLayout>
                  <c:x val="-0.34340069991251093"/>
                  <c:y val="-6.28350102070574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Données1!$E$4:$E$13</c:f>
              <c:numCache>
                <c:formatCode>0.000</c:formatCode>
                <c:ptCount val="10"/>
                <c:pt idx="0">
                  <c:v>0.127</c:v>
                </c:pt>
                <c:pt idx="1">
                  <c:v>0.11799999999999999</c:v>
                </c:pt>
                <c:pt idx="2">
                  <c:v>0.13200000000000001</c:v>
                </c:pt>
                <c:pt idx="3">
                  <c:v>0.14299999999999999</c:v>
                </c:pt>
                <c:pt idx="4">
                  <c:v>0.14199999999999999</c:v>
                </c:pt>
                <c:pt idx="5">
                  <c:v>0.14499999999999999</c:v>
                </c:pt>
                <c:pt idx="6">
                  <c:v>0.14899999999999999</c:v>
                </c:pt>
                <c:pt idx="7">
                  <c:v>0.16</c:v>
                </c:pt>
                <c:pt idx="8">
                  <c:v>0.16600000000000001</c:v>
                </c:pt>
                <c:pt idx="9">
                  <c:v>0.17199999999999999</c:v>
                </c:pt>
              </c:numCache>
            </c:numRef>
          </c:xVal>
          <c:yVal>
            <c:numRef>
              <c:f>Données1!$N$4:$N$13</c:f>
              <c:numCache>
                <c:formatCode>General</c:formatCode>
                <c:ptCount val="10"/>
                <c:pt idx="0">
                  <c:v>869.4</c:v>
                </c:pt>
                <c:pt idx="1">
                  <c:v>873.17</c:v>
                </c:pt>
                <c:pt idx="2">
                  <c:v>847.76</c:v>
                </c:pt>
                <c:pt idx="3">
                  <c:v>824.24</c:v>
                </c:pt>
                <c:pt idx="4">
                  <c:v>801.66</c:v>
                </c:pt>
                <c:pt idx="5">
                  <c:v>763.08</c:v>
                </c:pt>
                <c:pt idx="6">
                  <c:v>779.07</c:v>
                </c:pt>
                <c:pt idx="7">
                  <c:v>688.75</c:v>
                </c:pt>
                <c:pt idx="8">
                  <c:v>657.7</c:v>
                </c:pt>
                <c:pt idx="9" formatCode="0.00">
                  <c:v>659.67310000000009</c:v>
                </c:pt>
              </c:numCache>
            </c:numRef>
          </c:yVal>
          <c:smooth val="0"/>
          <c:extLst>
            <c:ext xmlns:c16="http://schemas.microsoft.com/office/drawing/2014/chart" uri="{C3380CC4-5D6E-409C-BE32-E72D297353CC}">
              <c16:uniqueId val="{00000000-B5B9-4EFF-91EB-2B2499F96C57}"/>
            </c:ext>
          </c:extLst>
        </c:ser>
        <c:dLbls>
          <c:showLegendKey val="0"/>
          <c:showVal val="0"/>
          <c:showCatName val="0"/>
          <c:showSerName val="0"/>
          <c:showPercent val="0"/>
          <c:showBubbleSize val="0"/>
        </c:dLbls>
        <c:axId val="1970082255"/>
        <c:axId val="1970080175"/>
      </c:scatterChart>
      <c:valAx>
        <c:axId val="1970082255"/>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70080175"/>
        <c:crosses val="autoZero"/>
        <c:crossBetween val="midCat"/>
      </c:valAx>
      <c:valAx>
        <c:axId val="19700801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70082255"/>
        <c:crosses val="autoZero"/>
        <c:crossBetween val="midCat"/>
      </c:valAx>
      <c:spPr>
        <a:noFill/>
        <a:ln>
          <a:noFill/>
        </a:ln>
        <a:effectLst/>
      </c:spPr>
    </c:plotArea>
    <c:legend>
      <c:legendPos val="t"/>
      <c:layout>
        <c:manualLayout>
          <c:xMode val="edge"/>
          <c:yMode val="edge"/>
          <c:x val="0.10776552930883639"/>
          <c:y val="0.2275462962962963"/>
          <c:w val="0.80113560804899397"/>
          <c:h val="7.8125546806649182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Evolution du prix unitaire du Bois en fonction de la consommation </a:t>
            </a:r>
            <a:endParaRPr lang="fr-F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scatterChart>
        <c:scatterStyle val="lineMarker"/>
        <c:varyColors val="0"/>
        <c:ser>
          <c:idx val="1"/>
          <c:order val="0"/>
          <c:tx>
            <c:strRef>
              <c:f>Données1!$F$3</c:f>
              <c:strCache>
                <c:ptCount val="1"/>
                <c:pt idx="0">
                  <c:v>Bois</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0"/>
            <c:dispEq val="0"/>
          </c:trendline>
          <c:trendline>
            <c:spPr>
              <a:ln w="25400" cap="rnd">
                <a:solidFill>
                  <a:schemeClr val="accent2">
                    <a:alpha val="50000"/>
                  </a:schemeClr>
                </a:solidFill>
              </a:ln>
              <a:effectLst/>
            </c:spPr>
            <c:trendlineType val="linear"/>
            <c:dispRSqr val="1"/>
            <c:dispEq val="1"/>
            <c:trendlineLbl>
              <c:layout>
                <c:manualLayout>
                  <c:x val="-0.32961242344706909"/>
                  <c:y val="-9.898658501020701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trendlineLbl>
          </c:trendline>
          <c:xVal>
            <c:numRef>
              <c:f>Données1!$F$4:$F$13</c:f>
              <c:numCache>
                <c:formatCode>0.000</c:formatCode>
                <c:ptCount val="10"/>
                <c:pt idx="0">
                  <c:v>6.0999999999999999E-2</c:v>
                </c:pt>
                <c:pt idx="1">
                  <c:v>0.06</c:v>
                </c:pt>
                <c:pt idx="2">
                  <c:v>0.06</c:v>
                </c:pt>
                <c:pt idx="3">
                  <c:v>6.0999999999999999E-2</c:v>
                </c:pt>
                <c:pt idx="4">
                  <c:v>6.4000000000000001E-2</c:v>
                </c:pt>
                <c:pt idx="5">
                  <c:v>6.5000000000000002E-2</c:v>
                </c:pt>
                <c:pt idx="6">
                  <c:v>6.7000000000000004E-2</c:v>
                </c:pt>
                <c:pt idx="7">
                  <c:v>0.107</c:v>
                </c:pt>
                <c:pt idx="8">
                  <c:v>0.106</c:v>
                </c:pt>
                <c:pt idx="9">
                  <c:v>7.9000000000000001E-2</c:v>
                </c:pt>
              </c:numCache>
            </c:numRef>
          </c:xVal>
          <c:yVal>
            <c:numRef>
              <c:f>Données1!$O$4:$O$13</c:f>
              <c:numCache>
                <c:formatCode>General</c:formatCode>
                <c:ptCount val="10"/>
                <c:pt idx="0">
                  <c:v>7217.73</c:v>
                </c:pt>
                <c:pt idx="1">
                  <c:v>8046.67</c:v>
                </c:pt>
                <c:pt idx="2">
                  <c:v>7529.17</c:v>
                </c:pt>
                <c:pt idx="3">
                  <c:v>7173.5</c:v>
                </c:pt>
                <c:pt idx="4">
                  <c:v>7118.93</c:v>
                </c:pt>
                <c:pt idx="5">
                  <c:v>6571.32</c:v>
                </c:pt>
                <c:pt idx="6">
                  <c:v>7502.82</c:v>
                </c:pt>
                <c:pt idx="7">
                  <c:v>6301.28</c:v>
                </c:pt>
                <c:pt idx="8">
                  <c:v>6415.13</c:v>
                </c:pt>
                <c:pt idx="9">
                  <c:v>6586.38</c:v>
                </c:pt>
              </c:numCache>
            </c:numRef>
          </c:yVal>
          <c:smooth val="0"/>
          <c:extLst>
            <c:ext xmlns:c16="http://schemas.microsoft.com/office/drawing/2014/chart" uri="{C3380CC4-5D6E-409C-BE32-E72D297353CC}">
              <c16:uniqueId val="{00000002-5E35-4AD4-8B96-6ECBEA1AA4C7}"/>
            </c:ext>
          </c:extLst>
        </c:ser>
        <c:dLbls>
          <c:showLegendKey val="0"/>
          <c:showVal val="0"/>
          <c:showCatName val="0"/>
          <c:showSerName val="0"/>
          <c:showPercent val="0"/>
          <c:showBubbleSize val="0"/>
        </c:dLbls>
        <c:axId val="320246991"/>
        <c:axId val="320239087"/>
      </c:scatterChart>
      <c:valAx>
        <c:axId val="320246991"/>
        <c:scaling>
          <c:orientation val="minMax"/>
        </c:scaling>
        <c:delete val="0"/>
        <c:axPos val="b"/>
        <c:majorGridlines>
          <c:spPr>
            <a:ln w="9525" cap="flat" cmpd="sng" algn="ctr">
              <a:solidFill>
                <a:schemeClr val="dk1">
                  <a:lumMod val="65000"/>
                  <a:lumOff val="35000"/>
                  <a:alpha val="75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0.00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320239087"/>
        <c:crosses val="autoZero"/>
        <c:crossBetween val="midCat"/>
      </c:valAx>
      <c:valAx>
        <c:axId val="320239087"/>
        <c:scaling>
          <c:orientation val="minMax"/>
        </c:scaling>
        <c:delete val="0"/>
        <c:axPos val="l"/>
        <c:majorGridlines>
          <c:spPr>
            <a:ln w="9525" cap="flat" cmpd="sng" algn="ctr">
              <a:solidFill>
                <a:schemeClr val="dk1">
                  <a:lumMod val="65000"/>
                  <a:lumOff val="35000"/>
                  <a:alpha val="7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320246991"/>
        <c:crosses val="autoZero"/>
        <c:crossBetween val="midCat"/>
      </c:valAx>
      <c:spPr>
        <a:noFill/>
        <a:ln>
          <a:noFill/>
        </a:ln>
        <a:effectLst/>
      </c:spPr>
    </c:plotArea>
    <c:legend>
      <c:legendPos val="t"/>
      <c:overlay val="0"/>
      <c:spPr>
        <a:gradFill>
          <a:gsLst>
            <a:gs pos="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600" b="1" i="0" baseline="0">
                <a:effectLst/>
              </a:rPr>
              <a:t>Evolution du prix unitaire des énergies dans le temps </a:t>
            </a:r>
            <a:endParaRPr lang="fr-FR" sz="1200" b="1">
              <a:effectLst/>
            </a:endParaRPr>
          </a:p>
        </c:rich>
      </c:tx>
      <c:layout>
        <c:manualLayout>
          <c:xMode val="edge"/>
          <c:yMode val="edge"/>
          <c:x val="0.12765842093572499"/>
          <c:y val="3.6342957130358705E-2"/>
        </c:manualLayout>
      </c:layout>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2037515734133833E-2"/>
          <c:y val="0.16768392002470281"/>
          <c:w val="0.69894063131096118"/>
          <c:h val="0.71503347417430607"/>
        </c:manualLayout>
      </c:layout>
      <c:lineChart>
        <c:grouping val="standard"/>
        <c:varyColors val="0"/>
        <c:ser>
          <c:idx val="0"/>
          <c:order val="0"/>
          <c:tx>
            <c:strRef>
              <c:f>Données1!$B$3</c:f>
              <c:strCache>
                <c:ptCount val="1"/>
                <c:pt idx="0">
                  <c:v>Electricité</c:v>
                </c:pt>
              </c:strCache>
            </c:strRef>
          </c:tx>
          <c:spPr>
            <a:ln w="28575" cap="rnd">
              <a:solidFill>
                <a:schemeClr val="accent1"/>
              </a:solidFill>
              <a:round/>
            </a:ln>
            <a:effectLst/>
          </c:spPr>
          <c:marker>
            <c:symbol val="circle"/>
            <c:size val="5"/>
            <c:spPr>
              <a:solidFill>
                <a:schemeClr val="accent1"/>
              </a:solidFill>
              <a:ln w="9525">
                <a:solidFill>
                  <a:schemeClr val="lt1"/>
                </a:solidFill>
              </a:ln>
              <a:effectLst/>
            </c:spPr>
          </c:marker>
          <c:trendline>
            <c:spPr>
              <a:ln w="19050" cap="rnd">
                <a:solidFill>
                  <a:schemeClr val="accent1"/>
                </a:solidFill>
                <a:prstDash val="sysDash"/>
              </a:ln>
              <a:effectLst/>
            </c:spPr>
            <c:trendlineType val="linear"/>
            <c:dispRSqr val="0"/>
            <c:dispEq val="0"/>
          </c:trendline>
          <c:trendline>
            <c:spPr>
              <a:ln w="19050" cap="rnd">
                <a:solidFill>
                  <a:schemeClr val="accent1"/>
                </a:solidFill>
                <a:prstDash val="sysDash"/>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trendlineLbl>
          </c:trendline>
          <c:val>
            <c:numRef>
              <c:f>Données1!$B$4:$B$13</c:f>
              <c:numCache>
                <c:formatCode>0.000</c:formatCode>
                <c:ptCount val="10"/>
                <c:pt idx="0">
                  <c:v>0.17</c:v>
                </c:pt>
                <c:pt idx="1">
                  <c:v>0.17</c:v>
                </c:pt>
                <c:pt idx="2">
                  <c:v>0.17299999999999999</c:v>
                </c:pt>
                <c:pt idx="3">
                  <c:v>0.17699999999999999</c:v>
                </c:pt>
                <c:pt idx="4">
                  <c:v>0.185</c:v>
                </c:pt>
                <c:pt idx="5">
                  <c:v>0.19400000000000001</c:v>
                </c:pt>
                <c:pt idx="6">
                  <c:v>0.19800000000000001</c:v>
                </c:pt>
                <c:pt idx="7">
                  <c:v>0.215</c:v>
                </c:pt>
                <c:pt idx="8">
                  <c:v>0.245</c:v>
                </c:pt>
                <c:pt idx="9">
                  <c:v>0.252</c:v>
                </c:pt>
              </c:numCache>
            </c:numRef>
          </c:val>
          <c:smooth val="0"/>
          <c:extLst>
            <c:ext xmlns:c16="http://schemas.microsoft.com/office/drawing/2014/chart" uri="{C3380CC4-5D6E-409C-BE32-E72D297353CC}">
              <c16:uniqueId val="{00000000-A2E3-486D-B7E1-02F3C5D238DC}"/>
            </c:ext>
          </c:extLst>
        </c:ser>
        <c:ser>
          <c:idx val="1"/>
          <c:order val="1"/>
          <c:tx>
            <c:strRef>
              <c:f>Données1!$C$3</c:f>
              <c:strCache>
                <c:ptCount val="1"/>
                <c:pt idx="0">
                  <c:v>Gaz natuel</c:v>
                </c:pt>
              </c:strCache>
            </c:strRef>
          </c:tx>
          <c:spPr>
            <a:ln w="28575" cap="rnd">
              <a:solidFill>
                <a:schemeClr val="accent2"/>
              </a:solidFill>
              <a:round/>
            </a:ln>
            <a:effectLst/>
          </c:spPr>
          <c:marker>
            <c:symbol val="circle"/>
            <c:size val="5"/>
            <c:spPr>
              <a:solidFill>
                <a:schemeClr val="accent2"/>
              </a:solidFill>
              <a:ln w="9525">
                <a:solidFill>
                  <a:schemeClr val="lt1"/>
                </a:solidFill>
              </a:ln>
              <a:effectLst/>
            </c:spPr>
          </c:marker>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1"/>
            <c:dispEq val="1"/>
            <c:trendlineLbl>
              <c:layout>
                <c:manualLayout>
                  <c:x val="-2.2726570943337965E-2"/>
                  <c:y val="0.13729060521846534"/>
                </c:manualLayout>
              </c:layout>
              <c:numFmt formatCode="General" sourceLinked="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trendlineLbl>
          </c:trendline>
          <c:val>
            <c:numRef>
              <c:f>Données1!$C$4:$C$13</c:f>
              <c:numCache>
                <c:formatCode>0.000</c:formatCode>
                <c:ptCount val="10"/>
                <c:pt idx="0">
                  <c:v>7.1999999999999995E-2</c:v>
                </c:pt>
                <c:pt idx="1">
                  <c:v>6.6000000000000003E-2</c:v>
                </c:pt>
                <c:pt idx="2">
                  <c:v>6.7000000000000004E-2</c:v>
                </c:pt>
                <c:pt idx="3">
                  <c:v>7.0999999999999994E-2</c:v>
                </c:pt>
                <c:pt idx="4">
                  <c:v>7.9000000000000001E-2</c:v>
                </c:pt>
                <c:pt idx="5">
                  <c:v>7.2999999999999995E-2</c:v>
                </c:pt>
                <c:pt idx="6">
                  <c:v>7.3999999999999996E-2</c:v>
                </c:pt>
                <c:pt idx="7">
                  <c:v>9.2999999999999999E-2</c:v>
                </c:pt>
                <c:pt idx="8">
                  <c:v>0.111</c:v>
                </c:pt>
                <c:pt idx="9">
                  <c:v>0.126</c:v>
                </c:pt>
              </c:numCache>
            </c:numRef>
          </c:val>
          <c:smooth val="0"/>
          <c:extLst>
            <c:ext xmlns:c16="http://schemas.microsoft.com/office/drawing/2014/chart" uri="{C3380CC4-5D6E-409C-BE32-E72D297353CC}">
              <c16:uniqueId val="{00000001-A2E3-486D-B7E1-02F3C5D238DC}"/>
            </c:ext>
          </c:extLst>
        </c:ser>
        <c:ser>
          <c:idx val="2"/>
          <c:order val="2"/>
          <c:tx>
            <c:strRef>
              <c:f>Données1!$D$3</c:f>
              <c:strCache>
                <c:ptCount val="1"/>
                <c:pt idx="0">
                  <c:v>Fioul domestique</c:v>
                </c:pt>
              </c:strCache>
            </c:strRef>
          </c:tx>
          <c:spPr>
            <a:ln w="28575" cap="rnd">
              <a:solidFill>
                <a:schemeClr val="accent3"/>
              </a:solidFill>
              <a:round/>
            </a:ln>
            <a:effectLst/>
          </c:spPr>
          <c:marker>
            <c:symbol val="circle"/>
            <c:size val="5"/>
            <c:spPr>
              <a:solidFill>
                <a:schemeClr val="accent3"/>
              </a:solidFill>
              <a:ln w="9525">
                <a:solidFill>
                  <a:schemeClr val="lt1"/>
                </a:solidFill>
              </a:ln>
              <a:effectLst/>
            </c:spPr>
          </c:marker>
          <c:trendline>
            <c:spPr>
              <a:ln w="19050" cap="rnd">
                <a:solidFill>
                  <a:schemeClr val="accent3"/>
                </a:solidFill>
                <a:prstDash val="sysDash"/>
              </a:ln>
              <a:effectLst/>
            </c:spPr>
            <c:trendlineType val="linear"/>
            <c:dispRSqr val="0"/>
            <c:dispEq val="0"/>
          </c:trendline>
          <c:trendline>
            <c:spPr>
              <a:ln w="19050" cap="rnd">
                <a:solidFill>
                  <a:schemeClr val="accent3"/>
                </a:solidFill>
                <a:prstDash val="sysDash"/>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trendlineLbl>
          </c:trendline>
          <c:val>
            <c:numRef>
              <c:f>Données1!$D$4:$D$13</c:f>
              <c:numCache>
                <c:formatCode>0.000</c:formatCode>
                <c:ptCount val="10"/>
                <c:pt idx="0">
                  <c:v>7.2999999999999995E-2</c:v>
                </c:pt>
                <c:pt idx="1">
                  <c:v>6.5000000000000002E-2</c:v>
                </c:pt>
                <c:pt idx="2">
                  <c:v>7.5999999999999998E-2</c:v>
                </c:pt>
                <c:pt idx="3">
                  <c:v>9.2999999999999999E-2</c:v>
                </c:pt>
                <c:pt idx="4">
                  <c:v>9.5000000000000001E-2</c:v>
                </c:pt>
                <c:pt idx="5">
                  <c:v>7.8E-2</c:v>
                </c:pt>
                <c:pt idx="6">
                  <c:v>9.0999999999999998E-2</c:v>
                </c:pt>
                <c:pt idx="7">
                  <c:v>0.14899999999999999</c:v>
                </c:pt>
                <c:pt idx="8">
                  <c:v>0.129</c:v>
                </c:pt>
                <c:pt idx="9">
                  <c:v>0.123</c:v>
                </c:pt>
              </c:numCache>
            </c:numRef>
          </c:val>
          <c:smooth val="0"/>
          <c:extLst>
            <c:ext xmlns:c16="http://schemas.microsoft.com/office/drawing/2014/chart" uri="{C3380CC4-5D6E-409C-BE32-E72D297353CC}">
              <c16:uniqueId val="{00000002-A2E3-486D-B7E1-02F3C5D238DC}"/>
            </c:ext>
          </c:extLst>
        </c:ser>
        <c:ser>
          <c:idx val="3"/>
          <c:order val="3"/>
          <c:tx>
            <c:strRef>
              <c:f>Données1!$E$3</c:f>
              <c:strCache>
                <c:ptCount val="1"/>
                <c:pt idx="0">
                  <c:v>Petrole </c:v>
                </c:pt>
              </c:strCache>
            </c:strRef>
          </c:tx>
          <c:spPr>
            <a:ln w="28575" cap="rnd">
              <a:solidFill>
                <a:schemeClr val="accent4"/>
              </a:solidFill>
              <a:round/>
            </a:ln>
            <a:effectLst/>
          </c:spPr>
          <c:marker>
            <c:symbol val="circle"/>
            <c:size val="5"/>
            <c:spPr>
              <a:solidFill>
                <a:schemeClr val="accent4"/>
              </a:solidFill>
              <a:ln w="9525">
                <a:solidFill>
                  <a:schemeClr val="lt1"/>
                </a:solidFill>
              </a:ln>
              <a:effectLst/>
            </c:spPr>
          </c:marker>
          <c:trendline>
            <c:spPr>
              <a:ln w="19050" cap="rnd">
                <a:solidFill>
                  <a:schemeClr val="accent4"/>
                </a:solidFill>
                <a:prstDash val="sysDash"/>
              </a:ln>
              <a:effectLst/>
            </c:spPr>
            <c:trendlineType val="linear"/>
            <c:dispRSqr val="0"/>
            <c:dispEq val="0"/>
          </c:trendline>
          <c:trendline>
            <c:spPr>
              <a:ln w="19050" cap="rnd">
                <a:solidFill>
                  <a:schemeClr val="accent4"/>
                </a:solidFill>
                <a:prstDash val="sysDash"/>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trendlineLbl>
          </c:trendline>
          <c:val>
            <c:numRef>
              <c:f>Données1!$E$4:$E$13</c:f>
              <c:numCache>
                <c:formatCode>0.000</c:formatCode>
                <c:ptCount val="10"/>
                <c:pt idx="0">
                  <c:v>0.127</c:v>
                </c:pt>
                <c:pt idx="1">
                  <c:v>0.11799999999999999</c:v>
                </c:pt>
                <c:pt idx="2">
                  <c:v>0.13200000000000001</c:v>
                </c:pt>
                <c:pt idx="3">
                  <c:v>0.14299999999999999</c:v>
                </c:pt>
                <c:pt idx="4">
                  <c:v>0.14199999999999999</c:v>
                </c:pt>
                <c:pt idx="5">
                  <c:v>0.14499999999999999</c:v>
                </c:pt>
                <c:pt idx="6">
                  <c:v>0.14899999999999999</c:v>
                </c:pt>
                <c:pt idx="7">
                  <c:v>0.16</c:v>
                </c:pt>
                <c:pt idx="8">
                  <c:v>0.16600000000000001</c:v>
                </c:pt>
                <c:pt idx="9">
                  <c:v>0.17199999999999999</c:v>
                </c:pt>
              </c:numCache>
            </c:numRef>
          </c:val>
          <c:smooth val="0"/>
          <c:extLst>
            <c:ext xmlns:c16="http://schemas.microsoft.com/office/drawing/2014/chart" uri="{C3380CC4-5D6E-409C-BE32-E72D297353CC}">
              <c16:uniqueId val="{00000003-A2E3-486D-B7E1-02F3C5D238DC}"/>
            </c:ext>
          </c:extLst>
        </c:ser>
        <c:ser>
          <c:idx val="4"/>
          <c:order val="4"/>
          <c:tx>
            <c:strRef>
              <c:f>Données1!$F$3</c:f>
              <c:strCache>
                <c:ptCount val="1"/>
                <c:pt idx="0">
                  <c:v>Bois</c:v>
                </c:pt>
              </c:strCache>
            </c:strRef>
          </c:tx>
          <c:spPr>
            <a:ln w="28575" cap="rnd">
              <a:solidFill>
                <a:schemeClr val="accent5"/>
              </a:solidFill>
              <a:round/>
            </a:ln>
            <a:effectLst/>
          </c:spPr>
          <c:marker>
            <c:symbol val="circle"/>
            <c:size val="5"/>
            <c:spPr>
              <a:solidFill>
                <a:schemeClr val="accent5"/>
              </a:solidFill>
              <a:ln w="9525">
                <a:solidFill>
                  <a:schemeClr val="lt1"/>
                </a:solidFill>
              </a:ln>
              <a:effectLst/>
            </c:spPr>
          </c:marker>
          <c:trendline>
            <c:spPr>
              <a:ln w="19050" cap="rnd">
                <a:solidFill>
                  <a:schemeClr val="accent5"/>
                </a:solidFill>
                <a:prstDash val="sysDash"/>
              </a:ln>
              <a:effectLst/>
            </c:spPr>
            <c:trendlineType val="linear"/>
            <c:dispRSqr val="0"/>
            <c:dispEq val="0"/>
          </c:trendline>
          <c:trendline>
            <c:spPr>
              <a:ln w="19050" cap="rnd">
                <a:solidFill>
                  <a:schemeClr val="accent5"/>
                </a:solidFill>
                <a:prstDash val="sysDash"/>
              </a:ln>
              <a:effectLst/>
            </c:spPr>
            <c:trendlineType val="linear"/>
            <c:dispRSqr val="1"/>
            <c:dispEq val="1"/>
            <c:trendlineLbl>
              <c:layout>
                <c:manualLayout>
                  <c:x val="-4.1507195501491109E-3"/>
                  <c:y val="2.4258530183727034E-2"/>
                </c:manualLayout>
              </c:layout>
              <c:numFmt formatCode="General" sourceLinked="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trendlineLbl>
          </c:trendline>
          <c:cat>
            <c:numRef>
              <c:f>Données1!$A$4:$A$13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Données1!$F$4:$F$13</c:f>
              <c:numCache>
                <c:formatCode>0.000</c:formatCode>
                <c:ptCount val="10"/>
                <c:pt idx="0">
                  <c:v>6.0999999999999999E-2</c:v>
                </c:pt>
                <c:pt idx="1">
                  <c:v>0.06</c:v>
                </c:pt>
                <c:pt idx="2">
                  <c:v>0.06</c:v>
                </c:pt>
                <c:pt idx="3">
                  <c:v>6.0999999999999999E-2</c:v>
                </c:pt>
                <c:pt idx="4">
                  <c:v>6.4000000000000001E-2</c:v>
                </c:pt>
                <c:pt idx="5">
                  <c:v>6.5000000000000002E-2</c:v>
                </c:pt>
                <c:pt idx="6">
                  <c:v>6.7000000000000004E-2</c:v>
                </c:pt>
                <c:pt idx="7">
                  <c:v>0.107</c:v>
                </c:pt>
                <c:pt idx="8">
                  <c:v>0.106</c:v>
                </c:pt>
                <c:pt idx="9">
                  <c:v>7.9000000000000001E-2</c:v>
                </c:pt>
              </c:numCache>
            </c:numRef>
          </c:val>
          <c:smooth val="0"/>
          <c:extLst>
            <c:ext xmlns:c16="http://schemas.microsoft.com/office/drawing/2014/chart" uri="{C3380CC4-5D6E-409C-BE32-E72D297353CC}">
              <c16:uniqueId val="{00000004-A2E3-486D-B7E1-02F3C5D238DC}"/>
            </c:ext>
          </c:extLst>
        </c:ser>
        <c:dLbls>
          <c:showLegendKey val="0"/>
          <c:showVal val="0"/>
          <c:showCatName val="0"/>
          <c:showSerName val="0"/>
          <c:showPercent val="0"/>
          <c:showBubbleSize val="0"/>
        </c:dLbls>
        <c:marker val="1"/>
        <c:smooth val="0"/>
        <c:axId val="522041231"/>
        <c:axId val="522034991"/>
      </c:lineChart>
      <c:catAx>
        <c:axId val="5220412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crossAx val="522034991"/>
        <c:crosses val="autoZero"/>
        <c:auto val="1"/>
        <c:lblAlgn val="ctr"/>
        <c:lblOffset val="100"/>
        <c:noMultiLvlLbl val="0"/>
      </c:catAx>
      <c:valAx>
        <c:axId val="52203499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crossAx val="522041231"/>
        <c:crosses val="autoZero"/>
        <c:crossBetween val="between"/>
      </c:valAx>
      <c:spPr>
        <a:noFill/>
        <a:ln>
          <a:noFill/>
        </a:ln>
        <a:effectLst/>
      </c:spPr>
    </c:plotArea>
    <c:legend>
      <c:legendPos val="r"/>
      <c:layout>
        <c:manualLayout>
          <c:xMode val="edge"/>
          <c:yMode val="edge"/>
          <c:x val="0.77047803971553486"/>
          <c:y val="0.2030177937316659"/>
          <c:w val="0.2295219602844652"/>
          <c:h val="0.62040875405280227"/>
        </c:manualLayout>
      </c:layou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fr-FR"/>
              <a:t>Histogram</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r>
              <a:rPr lang="en-US" sz="1800" b="1" i="0" baseline="0">
                <a:effectLst/>
              </a:rPr>
              <a:t>Evolution du prix unitaire des énergies dans le temps </a:t>
            </a:r>
            <a:endParaRPr lang="fr-FR">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fr-FR"/>
          </a:p>
        </c:rich>
      </c:tx>
      <c:layout>
        <c:manualLayout>
          <c:xMode val="edge"/>
          <c:yMode val="edge"/>
          <c:x val="0.11534673404848221"/>
          <c:y val="9.2839073699969698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manualLayout>
          <c:layoutTarget val="inner"/>
          <c:xMode val="edge"/>
          <c:yMode val="edge"/>
          <c:x val="0.10566976032476022"/>
          <c:y val="0.15108134200970133"/>
          <c:w val="0.79491363727996511"/>
          <c:h val="0.77651043145223542"/>
        </c:manualLayout>
      </c:layout>
      <c:barChart>
        <c:barDir val="col"/>
        <c:grouping val="clustered"/>
        <c:varyColors val="0"/>
        <c:ser>
          <c:idx val="0"/>
          <c:order val="0"/>
          <c:tx>
            <c:strRef>
              <c:f>Données1!$A$3</c:f>
              <c:strCache>
                <c:ptCount val="1"/>
                <c:pt idx="0">
                  <c:v>Années </c:v>
                </c:pt>
              </c:strCache>
              <c:extLst xmlns:c15="http://schemas.microsoft.com/office/drawing/2012/chart"/>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Données1!$A$4:$A$13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extLst xmlns:c15="http://schemas.microsoft.com/office/drawing/2012/chart"/>
            </c:numRef>
          </c:cat>
          <c:val>
            <c:numRef>
              <c:f>Données1!$A$4:$A$13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extLst xmlns:c15="http://schemas.microsoft.com/office/drawing/2012/chart"/>
            </c:numRef>
          </c:val>
          <c:extLst xmlns:c15="http://schemas.microsoft.com/office/drawing/2012/chart">
            <c:ext xmlns:c16="http://schemas.microsoft.com/office/drawing/2014/chart" uri="{C3380CC4-5D6E-409C-BE32-E72D297353CC}">
              <c16:uniqueId val="{00000001-3B5A-4A6E-8F35-92C5A51EE458}"/>
            </c:ext>
          </c:extLst>
        </c:ser>
        <c:dLbls>
          <c:showLegendKey val="0"/>
          <c:showVal val="0"/>
          <c:showCatName val="0"/>
          <c:showSerName val="0"/>
          <c:showPercent val="0"/>
          <c:showBubbleSize val="0"/>
        </c:dLbls>
        <c:gapWidth val="247"/>
        <c:axId val="318056015"/>
        <c:axId val="318040623"/>
        <c:extLst/>
      </c:barChart>
      <c:lineChart>
        <c:grouping val="standard"/>
        <c:varyColors val="0"/>
        <c:ser>
          <c:idx val="1"/>
          <c:order val="1"/>
          <c:tx>
            <c:strRef>
              <c:f>Données1!$B$3</c:f>
              <c:strCache>
                <c:ptCount val="1"/>
                <c:pt idx="0">
                  <c:v>Electricité</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val>
            <c:numRef>
              <c:f>Données1!$B$4:$B$13</c:f>
              <c:numCache>
                <c:formatCode>0.000</c:formatCode>
                <c:ptCount val="10"/>
                <c:pt idx="0">
                  <c:v>0.17</c:v>
                </c:pt>
                <c:pt idx="1">
                  <c:v>0.17</c:v>
                </c:pt>
                <c:pt idx="2">
                  <c:v>0.17299999999999999</c:v>
                </c:pt>
                <c:pt idx="3">
                  <c:v>0.17699999999999999</c:v>
                </c:pt>
                <c:pt idx="4">
                  <c:v>0.185</c:v>
                </c:pt>
                <c:pt idx="5">
                  <c:v>0.19400000000000001</c:v>
                </c:pt>
                <c:pt idx="6">
                  <c:v>0.19800000000000001</c:v>
                </c:pt>
                <c:pt idx="7">
                  <c:v>0.215</c:v>
                </c:pt>
                <c:pt idx="8">
                  <c:v>0.245</c:v>
                </c:pt>
                <c:pt idx="9">
                  <c:v>0.252</c:v>
                </c:pt>
              </c:numCache>
            </c:numRef>
          </c:val>
          <c:smooth val="0"/>
          <c:extLst>
            <c:ext xmlns:c16="http://schemas.microsoft.com/office/drawing/2014/chart" uri="{C3380CC4-5D6E-409C-BE32-E72D297353CC}">
              <c16:uniqueId val="{00000002-3B5A-4A6E-8F35-92C5A51EE458}"/>
            </c:ext>
          </c:extLst>
        </c:ser>
        <c:ser>
          <c:idx val="2"/>
          <c:order val="2"/>
          <c:tx>
            <c:strRef>
              <c:f>Données1!$C$3</c:f>
              <c:strCache>
                <c:ptCount val="1"/>
                <c:pt idx="0">
                  <c:v>Gaz natuel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val>
            <c:numRef>
              <c:f>Données1!$C$4:$C$13</c:f>
              <c:numCache>
                <c:formatCode>0.000</c:formatCode>
                <c:ptCount val="10"/>
                <c:pt idx="0">
                  <c:v>7.1999999999999995E-2</c:v>
                </c:pt>
                <c:pt idx="1">
                  <c:v>6.6000000000000003E-2</c:v>
                </c:pt>
                <c:pt idx="2">
                  <c:v>6.7000000000000004E-2</c:v>
                </c:pt>
                <c:pt idx="3">
                  <c:v>7.0999999999999994E-2</c:v>
                </c:pt>
                <c:pt idx="4">
                  <c:v>7.9000000000000001E-2</c:v>
                </c:pt>
                <c:pt idx="5">
                  <c:v>7.2999999999999995E-2</c:v>
                </c:pt>
                <c:pt idx="6">
                  <c:v>7.3999999999999996E-2</c:v>
                </c:pt>
                <c:pt idx="7">
                  <c:v>9.2999999999999999E-2</c:v>
                </c:pt>
                <c:pt idx="8">
                  <c:v>0.111</c:v>
                </c:pt>
                <c:pt idx="9">
                  <c:v>0.126</c:v>
                </c:pt>
              </c:numCache>
            </c:numRef>
          </c:val>
          <c:smooth val="0"/>
          <c:extLst>
            <c:ext xmlns:c16="http://schemas.microsoft.com/office/drawing/2014/chart" uri="{C3380CC4-5D6E-409C-BE32-E72D297353CC}">
              <c16:uniqueId val="{00000004-3B5A-4A6E-8F35-92C5A51EE458}"/>
            </c:ext>
          </c:extLst>
        </c:ser>
        <c:ser>
          <c:idx val="3"/>
          <c:order val="3"/>
          <c:tx>
            <c:strRef>
              <c:f>Données1!$D$3</c:f>
              <c:strCache>
                <c:ptCount val="1"/>
                <c:pt idx="0">
                  <c:v>Fioul domestique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val>
            <c:numRef>
              <c:f>Données1!$D$4:$D$13</c:f>
              <c:numCache>
                <c:formatCode>0.000</c:formatCode>
                <c:ptCount val="10"/>
                <c:pt idx="0">
                  <c:v>7.2999999999999995E-2</c:v>
                </c:pt>
                <c:pt idx="1">
                  <c:v>6.5000000000000002E-2</c:v>
                </c:pt>
                <c:pt idx="2">
                  <c:v>7.5999999999999998E-2</c:v>
                </c:pt>
                <c:pt idx="3">
                  <c:v>9.2999999999999999E-2</c:v>
                </c:pt>
                <c:pt idx="4">
                  <c:v>9.5000000000000001E-2</c:v>
                </c:pt>
                <c:pt idx="5">
                  <c:v>7.8E-2</c:v>
                </c:pt>
                <c:pt idx="6">
                  <c:v>9.0999999999999998E-2</c:v>
                </c:pt>
                <c:pt idx="7">
                  <c:v>0.14899999999999999</c:v>
                </c:pt>
                <c:pt idx="8">
                  <c:v>0.129</c:v>
                </c:pt>
                <c:pt idx="9">
                  <c:v>0.123</c:v>
                </c:pt>
              </c:numCache>
            </c:numRef>
          </c:val>
          <c:smooth val="0"/>
          <c:extLst>
            <c:ext xmlns:c16="http://schemas.microsoft.com/office/drawing/2014/chart" uri="{C3380CC4-5D6E-409C-BE32-E72D297353CC}">
              <c16:uniqueId val="{00000005-3B5A-4A6E-8F35-92C5A51EE458}"/>
            </c:ext>
          </c:extLst>
        </c:ser>
        <c:ser>
          <c:idx val="4"/>
          <c:order val="4"/>
          <c:tx>
            <c:strRef>
              <c:f>Données1!$E$3</c:f>
              <c:strCache>
                <c:ptCount val="1"/>
                <c:pt idx="0">
                  <c:v>Petrole </c:v>
                </c:pt>
              </c:strCache>
            </c:strRef>
          </c:tx>
          <c:spPr>
            <a:ln w="34925" cap="rnd">
              <a:solidFill>
                <a:schemeClr val="accent4">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val>
            <c:numRef>
              <c:f>Données1!$E$4:$E$13</c:f>
              <c:numCache>
                <c:formatCode>0.000</c:formatCode>
                <c:ptCount val="10"/>
                <c:pt idx="0">
                  <c:v>0.127</c:v>
                </c:pt>
                <c:pt idx="1">
                  <c:v>0.11799999999999999</c:v>
                </c:pt>
                <c:pt idx="2">
                  <c:v>0.13200000000000001</c:v>
                </c:pt>
                <c:pt idx="3">
                  <c:v>0.14299999999999999</c:v>
                </c:pt>
                <c:pt idx="4">
                  <c:v>0.14199999999999999</c:v>
                </c:pt>
                <c:pt idx="5">
                  <c:v>0.14499999999999999</c:v>
                </c:pt>
                <c:pt idx="6">
                  <c:v>0.14899999999999999</c:v>
                </c:pt>
                <c:pt idx="7">
                  <c:v>0.16</c:v>
                </c:pt>
                <c:pt idx="8">
                  <c:v>0.16600000000000001</c:v>
                </c:pt>
                <c:pt idx="9">
                  <c:v>0.17199999999999999</c:v>
                </c:pt>
              </c:numCache>
            </c:numRef>
          </c:val>
          <c:smooth val="0"/>
          <c:extLst>
            <c:ext xmlns:c16="http://schemas.microsoft.com/office/drawing/2014/chart" uri="{C3380CC4-5D6E-409C-BE32-E72D297353CC}">
              <c16:uniqueId val="{00000006-3B5A-4A6E-8F35-92C5A51EE458}"/>
            </c:ext>
          </c:extLst>
        </c:ser>
        <c:ser>
          <c:idx val="5"/>
          <c:order val="5"/>
          <c:tx>
            <c:strRef>
              <c:f>Données1!$F$3</c:f>
              <c:strCache>
                <c:ptCount val="1"/>
                <c:pt idx="0">
                  <c:v>Bois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val>
            <c:numRef>
              <c:f>Données1!$F$4:$F$13</c:f>
              <c:numCache>
                <c:formatCode>0.000</c:formatCode>
                <c:ptCount val="10"/>
                <c:pt idx="0">
                  <c:v>6.0999999999999999E-2</c:v>
                </c:pt>
                <c:pt idx="1">
                  <c:v>0.06</c:v>
                </c:pt>
                <c:pt idx="2">
                  <c:v>0.06</c:v>
                </c:pt>
                <c:pt idx="3">
                  <c:v>6.0999999999999999E-2</c:v>
                </c:pt>
                <c:pt idx="4">
                  <c:v>6.4000000000000001E-2</c:v>
                </c:pt>
                <c:pt idx="5">
                  <c:v>6.5000000000000002E-2</c:v>
                </c:pt>
                <c:pt idx="6">
                  <c:v>6.7000000000000004E-2</c:v>
                </c:pt>
                <c:pt idx="7">
                  <c:v>0.107</c:v>
                </c:pt>
                <c:pt idx="8">
                  <c:v>0.106</c:v>
                </c:pt>
                <c:pt idx="9">
                  <c:v>7.9000000000000001E-2</c:v>
                </c:pt>
              </c:numCache>
            </c:numRef>
          </c:val>
          <c:smooth val="0"/>
          <c:extLst>
            <c:ext xmlns:c16="http://schemas.microsoft.com/office/drawing/2014/chart" uri="{C3380CC4-5D6E-409C-BE32-E72D297353CC}">
              <c16:uniqueId val="{00000007-3B5A-4A6E-8F35-92C5A51EE458}"/>
            </c:ext>
          </c:extLst>
        </c:ser>
        <c:dLbls>
          <c:showLegendKey val="0"/>
          <c:showVal val="0"/>
          <c:showCatName val="0"/>
          <c:showSerName val="0"/>
          <c:showPercent val="0"/>
          <c:showBubbleSize val="0"/>
        </c:dLbls>
        <c:marker val="1"/>
        <c:smooth val="0"/>
        <c:axId val="231905215"/>
        <c:axId val="231905631"/>
      </c:lineChart>
      <c:catAx>
        <c:axId val="3180560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fr-FR" sz="1600">
                    <a:solidFill>
                      <a:srgbClr val="FF0000"/>
                    </a:solidFill>
                  </a:rPr>
                  <a:t>Bin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fr-FR"/>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318040623"/>
        <c:crosses val="autoZero"/>
        <c:auto val="1"/>
        <c:lblAlgn val="ctr"/>
        <c:lblOffset val="100"/>
        <c:noMultiLvlLbl val="0"/>
      </c:catAx>
      <c:valAx>
        <c:axId val="3180406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fr-FR" sz="1400">
                    <a:solidFill>
                      <a:srgbClr val="FF0000"/>
                    </a:solidFill>
                  </a:rPr>
                  <a:t>Frequency</a:t>
                </a:r>
                <a:endParaRPr lang="fr-FR">
                  <a:solidFill>
                    <a:srgbClr val="FF0000"/>
                  </a:solidFill>
                </a:endParaRPr>
              </a:p>
            </c:rich>
          </c:tx>
          <c:layout>
            <c:manualLayout>
              <c:xMode val="edge"/>
              <c:yMode val="edge"/>
              <c:x val="0.95950299019572605"/>
              <c:y val="0.40674755066092649"/>
            </c:manualLayout>
          </c:layout>
          <c:overlay val="0"/>
          <c:spPr>
            <a:noFill/>
            <a:ln>
              <a:solidFill>
                <a:schemeClr val="accent2">
                  <a:lumMod val="60000"/>
                  <a:lumOff val="40000"/>
                </a:schemeClr>
              </a:solid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fr-FR"/>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318056015"/>
        <c:crosses val="autoZero"/>
        <c:crossBetween val="between"/>
      </c:valAx>
      <c:valAx>
        <c:axId val="231905631"/>
        <c:scaling>
          <c:orientation val="minMax"/>
        </c:scaling>
        <c:delete val="0"/>
        <c:axPos val="r"/>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231905215"/>
        <c:crosses val="max"/>
        <c:crossBetween val="between"/>
      </c:valAx>
      <c:catAx>
        <c:axId val="231905215"/>
        <c:scaling>
          <c:orientation val="minMax"/>
        </c:scaling>
        <c:delete val="1"/>
        <c:axPos val="b"/>
        <c:numFmt formatCode="General" sourceLinked="1"/>
        <c:majorTickMark val="none"/>
        <c:minorTickMark val="none"/>
        <c:tickLblPos val="nextTo"/>
        <c:crossAx val="231905631"/>
        <c:crosses val="autoZero"/>
        <c:auto val="1"/>
        <c:lblAlgn val="ctr"/>
        <c:lblOffset val="100"/>
        <c:noMultiLvlLbl val="0"/>
      </c:catAx>
      <c:spPr>
        <a:noFill/>
        <a:ln>
          <a:noFill/>
        </a:ln>
        <a:effectLst/>
      </c:spPr>
    </c:plotArea>
    <c:legend>
      <c:legendPos val="b"/>
      <c:layout>
        <c:manualLayout>
          <c:xMode val="edge"/>
          <c:yMode val="edge"/>
          <c:x val="0.12735998247353372"/>
          <c:y val="0.12063962466697638"/>
          <c:w val="0.73494961479869303"/>
          <c:h val="3.49445074100180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
            </a:r>
            <a:r>
              <a:rPr lang="en-US" baseline="0"/>
              <a:t> Electricité prix unitaire vs prix de vente </a:t>
            </a:r>
            <a:r>
              <a:rPr lang="en-US"/>
              <a:t> </a:t>
            </a:r>
          </a:p>
        </c:rich>
      </c:tx>
      <c:layout>
        <c:manualLayout>
          <c:xMode val="edge"/>
          <c:yMode val="edge"/>
          <c:x val="0.1873471128608924"/>
          <c:y val="3.24073353348549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Graphique2!$C$8</c:f>
              <c:strCache>
                <c:ptCount val="1"/>
                <c:pt idx="0">
                  <c:v>Le prix de vente de chaleur </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1"/>
            <c:dispEq val="1"/>
            <c:trendlineLbl>
              <c:layout>
                <c:manualLayout>
                  <c:x val="-7.5568262583046872E-2"/>
                  <c:y val="-8.981464806892283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cat>
            <c:numRef>
              <c:f>Graphique2!$L$11:$L$20</c:f>
              <c:numCache>
                <c:formatCode>General</c:formatCode>
                <c:ptCount val="10"/>
                <c:pt idx="0">
                  <c:v>0.17</c:v>
                </c:pt>
                <c:pt idx="1">
                  <c:v>0.17</c:v>
                </c:pt>
                <c:pt idx="2">
                  <c:v>0.17299999999999999</c:v>
                </c:pt>
                <c:pt idx="3">
                  <c:v>0.17699999999999999</c:v>
                </c:pt>
                <c:pt idx="4">
                  <c:v>0.185</c:v>
                </c:pt>
                <c:pt idx="5">
                  <c:v>0.19400000000000001</c:v>
                </c:pt>
                <c:pt idx="6">
                  <c:v>0.19800000000000001</c:v>
                </c:pt>
                <c:pt idx="7">
                  <c:v>0.215</c:v>
                </c:pt>
                <c:pt idx="8">
                  <c:v>0.245</c:v>
                </c:pt>
                <c:pt idx="9">
                  <c:v>0.252</c:v>
                </c:pt>
              </c:numCache>
            </c:numRef>
          </c:cat>
          <c:val>
            <c:numRef>
              <c:f>Graphique2!$D$11:$D$20</c:f>
              <c:numCache>
                <c:formatCode>0.00</c:formatCode>
                <c:ptCount val="10"/>
                <c:pt idx="0">
                  <c:v>2628.2647000000002</c:v>
                </c:pt>
                <c:pt idx="1">
                  <c:v>2683.6082000000001</c:v>
                </c:pt>
                <c:pt idx="2">
                  <c:v>2647.9754199999993</c:v>
                </c:pt>
                <c:pt idx="3">
                  <c:v>2657.0955899999999</c:v>
                </c:pt>
                <c:pt idx="4">
                  <c:v>2749.2083999999995</c:v>
                </c:pt>
                <c:pt idx="5">
                  <c:v>2895.5721799999997</c:v>
                </c:pt>
                <c:pt idx="6">
                  <c:v>3046.1478599999996</c:v>
                </c:pt>
                <c:pt idx="7">
                  <c:v>3028.3389499999998</c:v>
                </c:pt>
                <c:pt idx="8">
                  <c:v>3299.5252500000001</c:v>
                </c:pt>
                <c:pt idx="9">
                  <c:v>3411.6645737999997</c:v>
                </c:pt>
              </c:numCache>
            </c:numRef>
          </c:val>
          <c:smooth val="0"/>
          <c:extLst>
            <c:ext xmlns:c16="http://schemas.microsoft.com/office/drawing/2014/chart" uri="{C3380CC4-5D6E-409C-BE32-E72D297353CC}">
              <c16:uniqueId val="{00000000-92F2-4CE6-A320-CA99251EA8E1}"/>
            </c:ext>
          </c:extLst>
        </c:ser>
        <c:dLbls>
          <c:showLegendKey val="0"/>
          <c:showVal val="0"/>
          <c:showCatName val="0"/>
          <c:showSerName val="0"/>
          <c:showPercent val="0"/>
          <c:showBubbleSize val="0"/>
        </c:dLbls>
        <c:smooth val="0"/>
        <c:axId val="990300063"/>
        <c:axId val="990304223"/>
      </c:lineChart>
      <c:catAx>
        <c:axId val="99030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Prix unitaire</a:t>
                </a:r>
                <a:r>
                  <a:rPr lang="fr-FR" baseline="0"/>
                  <a:t> </a:t>
                </a:r>
                <a:endParaRPr lang="fr-FR"/>
              </a:p>
            </c:rich>
          </c:tx>
          <c:layout>
            <c:manualLayout>
              <c:xMode val="edge"/>
              <c:yMode val="edge"/>
              <c:x val="0.49762379702537174"/>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0304223"/>
        <c:crosses val="autoZero"/>
        <c:auto val="1"/>
        <c:lblAlgn val="ctr"/>
        <c:lblOffset val="100"/>
        <c:noMultiLvlLbl val="0"/>
      </c:catAx>
      <c:valAx>
        <c:axId val="99030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Prix de vente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030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Gaz prix unitaire vs prix de vente  </a:t>
            </a:r>
          </a:p>
        </c:rich>
      </c:tx>
      <c:layout>
        <c:manualLayout>
          <c:xMode val="edge"/>
          <c:yMode val="edge"/>
          <c:x val="8.4569335083114608E-2"/>
          <c:y val="2.7585154212972574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lotArea>
      <c:layout>
        <c:manualLayout>
          <c:layoutTarget val="inner"/>
          <c:xMode val="edge"/>
          <c:yMode val="edge"/>
          <c:x val="0.15991681882423506"/>
          <c:y val="0.1984864489396895"/>
          <c:w val="0.78996928496063556"/>
          <c:h val="0.60844064062034175"/>
        </c:manualLayout>
      </c:layout>
      <c:lineChart>
        <c:grouping val="standard"/>
        <c:varyColors val="0"/>
        <c:ser>
          <c:idx val="1"/>
          <c:order val="0"/>
          <c:tx>
            <c:strRef>
              <c:f>Graphique2!$C$8</c:f>
              <c:strCache>
                <c:ptCount val="1"/>
                <c:pt idx="0">
                  <c:v>Le prix de vente de chaleur </c:v>
                </c:pt>
              </c:strCache>
            </c:strRef>
          </c:tx>
          <c:spPr>
            <a:ln w="34925" cap="rnd">
              <a:solidFill>
                <a:schemeClr val="lt1"/>
              </a:solidFill>
              <a:round/>
            </a:ln>
            <a:effectLst>
              <a:outerShdw dist="25400" dir="2700000" algn="tl" rotWithShape="0">
                <a:schemeClr val="accent2"/>
              </a:outerShdw>
            </a:effectLst>
          </c:spPr>
          <c:marker>
            <c:symbol val="none"/>
          </c:marker>
          <c:trendline>
            <c:spPr>
              <a:ln w="28575" cap="rnd">
                <a:solidFill>
                  <a:schemeClr val="lt1">
                    <a:alpha val="50000"/>
                  </a:schemeClr>
                </a:solidFill>
                <a:round/>
              </a:ln>
              <a:effectLst/>
            </c:spPr>
            <c:trendlineType val="linear"/>
            <c:dispRSqr val="1"/>
            <c:dispEq val="1"/>
            <c:trendlineLbl>
              <c:layout>
                <c:manualLayout>
                  <c:x val="-3.2934870130254479E-2"/>
                  <c:y val="-0.1163148440443888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r-FR"/>
                </a:p>
              </c:txPr>
            </c:trendlineLbl>
          </c:trendline>
          <c:cat>
            <c:numRef>
              <c:f>Graphique2!$M$11:$M$20</c:f>
              <c:numCache>
                <c:formatCode>General</c:formatCode>
                <c:ptCount val="10"/>
                <c:pt idx="0">
                  <c:v>7.1999999999999995E-2</c:v>
                </c:pt>
                <c:pt idx="1">
                  <c:v>6.6000000000000003E-2</c:v>
                </c:pt>
                <c:pt idx="2">
                  <c:v>6.7000000000000004E-2</c:v>
                </c:pt>
                <c:pt idx="3">
                  <c:v>7.0999999999999994E-2</c:v>
                </c:pt>
                <c:pt idx="4">
                  <c:v>7.9000000000000001E-2</c:v>
                </c:pt>
                <c:pt idx="5">
                  <c:v>7.2999999999999995E-2</c:v>
                </c:pt>
                <c:pt idx="6">
                  <c:v>7.3999999999999996E-2</c:v>
                </c:pt>
                <c:pt idx="7">
                  <c:v>9.2999999999999999E-2</c:v>
                </c:pt>
                <c:pt idx="8">
                  <c:v>0.111</c:v>
                </c:pt>
                <c:pt idx="9">
                  <c:v>0.126</c:v>
                </c:pt>
              </c:numCache>
            </c:numRef>
          </c:cat>
          <c:val>
            <c:numRef>
              <c:f>Graphique2!$E$11:$E$20</c:f>
              <c:numCache>
                <c:formatCode>0.00</c:formatCode>
                <c:ptCount val="10"/>
                <c:pt idx="0">
                  <c:v>1033.5998399999999</c:v>
                </c:pt>
                <c:pt idx="1">
                  <c:v>1019.9037600000001</c:v>
                </c:pt>
                <c:pt idx="2">
                  <c:v>998.51008999999999</c:v>
                </c:pt>
                <c:pt idx="3">
                  <c:v>1018.4278499999999</c:v>
                </c:pt>
                <c:pt idx="4">
                  <c:v>1100.74531</c:v>
                </c:pt>
                <c:pt idx="5">
                  <c:v>1005.2921499999999</c:v>
                </c:pt>
                <c:pt idx="6">
                  <c:v>1060.8051999999998</c:v>
                </c:pt>
                <c:pt idx="7">
                  <c:v>1081.8120299999998</c:v>
                </c:pt>
                <c:pt idx="8">
                  <c:v>1148.5358999999999</c:v>
                </c:pt>
                <c:pt idx="9">
                  <c:v>1371.0398999999998</c:v>
                </c:pt>
              </c:numCache>
            </c:numRef>
          </c:val>
          <c:smooth val="0"/>
          <c:extLst>
            <c:ext xmlns:c16="http://schemas.microsoft.com/office/drawing/2014/chart" uri="{C3380CC4-5D6E-409C-BE32-E72D297353CC}">
              <c16:uniqueId val="{00000006-EA62-4982-AB48-4F574D3B2DD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990300063"/>
        <c:axId val="990304223"/>
      </c:lineChart>
      <c:catAx>
        <c:axId val="9903000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fr-FR"/>
                  <a:t>Prix unitaire </a:t>
                </a:r>
              </a:p>
            </c:rich>
          </c:tx>
          <c:layout>
            <c:manualLayout>
              <c:xMode val="edge"/>
              <c:yMode val="edge"/>
              <c:x val="0.49762379702537174"/>
              <c:y val="0.8833100029163021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fr-FR"/>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fr-FR"/>
          </a:p>
        </c:txPr>
        <c:crossAx val="990304223"/>
        <c:crosses val="autoZero"/>
        <c:auto val="1"/>
        <c:lblAlgn val="ctr"/>
        <c:lblOffset val="100"/>
        <c:noMultiLvlLbl val="0"/>
      </c:catAx>
      <c:valAx>
        <c:axId val="99030422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fr-FR"/>
                  <a:t>Prix de vente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r-FR"/>
          </a:p>
        </c:txPr>
        <c:crossAx val="990300063"/>
        <c:crosses val="autoZero"/>
        <c:crossBetween val="between"/>
      </c:valAx>
      <c:spPr>
        <a:noFill/>
        <a:ln>
          <a:noFill/>
        </a:ln>
        <a:effectLst/>
      </c:spPr>
    </c:plotArea>
    <c:plotVisOnly val="1"/>
    <c:dispBlanksAs val="gap"/>
    <c:showDLblsOverMax val="0"/>
    <c:extLst/>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oneCell">
    <xdr:from>
      <xdr:col>0</xdr:col>
      <xdr:colOff>276533</xdr:colOff>
      <xdr:row>32</xdr:row>
      <xdr:rowOff>353347</xdr:rowOff>
    </xdr:from>
    <xdr:to>
      <xdr:col>1</xdr:col>
      <xdr:colOff>1956927</xdr:colOff>
      <xdr:row>38</xdr:row>
      <xdr:rowOff>9218</xdr:rowOff>
    </xdr:to>
    <xdr:pic>
      <xdr:nvPicPr>
        <xdr:cNvPr id="3" name="Picture 2">
          <a:extLst>
            <a:ext uri="{FF2B5EF4-FFF2-40B4-BE49-F238E27FC236}">
              <a16:creationId xmlns:a16="http://schemas.microsoft.com/office/drawing/2014/main" id="{E9CA9A46-9622-45D9-93B5-65645BFEBAAD}"/>
            </a:ext>
          </a:extLst>
        </xdr:cNvPr>
        <xdr:cNvPicPr>
          <a:picLocks noChangeAspect="1"/>
        </xdr:cNvPicPr>
      </xdr:nvPicPr>
      <xdr:blipFill>
        <a:blip xmlns:r="http://schemas.openxmlformats.org/officeDocument/2006/relationships" r:embed="rId1"/>
        <a:stretch>
          <a:fillRect/>
        </a:stretch>
      </xdr:blipFill>
      <xdr:spPr>
        <a:xfrm>
          <a:off x="276533" y="11076653"/>
          <a:ext cx="3800475" cy="2190750"/>
        </a:xfrm>
        <a:prstGeom prst="rect">
          <a:avLst/>
        </a:prstGeom>
      </xdr:spPr>
    </xdr:pic>
    <xdr:clientData/>
  </xdr:twoCellAnchor>
  <xdr:twoCellAnchor editAs="oneCell">
    <xdr:from>
      <xdr:col>3</xdr:col>
      <xdr:colOff>46089</xdr:colOff>
      <xdr:row>32</xdr:row>
      <xdr:rowOff>153629</xdr:rowOff>
    </xdr:from>
    <xdr:to>
      <xdr:col>11</xdr:col>
      <xdr:colOff>451669</xdr:colOff>
      <xdr:row>37</xdr:row>
      <xdr:rowOff>230443</xdr:rowOff>
    </xdr:to>
    <xdr:pic>
      <xdr:nvPicPr>
        <xdr:cNvPr id="4" name="Picture 3">
          <a:extLst>
            <a:ext uri="{FF2B5EF4-FFF2-40B4-BE49-F238E27FC236}">
              <a16:creationId xmlns:a16="http://schemas.microsoft.com/office/drawing/2014/main" id="{EF908299-7D78-4897-988E-F2B66FAF7BE5}"/>
            </a:ext>
          </a:extLst>
        </xdr:cNvPr>
        <xdr:cNvPicPr>
          <a:picLocks noChangeAspect="1"/>
        </xdr:cNvPicPr>
      </xdr:nvPicPr>
      <xdr:blipFill>
        <a:blip xmlns:r="http://schemas.openxmlformats.org/officeDocument/2006/relationships" r:embed="rId2"/>
        <a:stretch>
          <a:fillRect/>
        </a:stretch>
      </xdr:blipFill>
      <xdr:spPr>
        <a:xfrm>
          <a:off x="4086533" y="10876935"/>
          <a:ext cx="6581467" cy="2350524"/>
        </a:xfrm>
        <a:prstGeom prst="rect">
          <a:avLst/>
        </a:prstGeom>
      </xdr:spPr>
    </xdr:pic>
    <xdr:clientData/>
  </xdr:twoCellAnchor>
  <xdr:twoCellAnchor editAs="oneCell">
    <xdr:from>
      <xdr:col>0</xdr:col>
      <xdr:colOff>752783</xdr:colOff>
      <xdr:row>40</xdr:row>
      <xdr:rowOff>76814</xdr:rowOff>
    </xdr:from>
    <xdr:to>
      <xdr:col>4</xdr:col>
      <xdr:colOff>437843</xdr:colOff>
      <xdr:row>49</xdr:row>
      <xdr:rowOff>2765</xdr:rowOff>
    </xdr:to>
    <xdr:pic>
      <xdr:nvPicPr>
        <xdr:cNvPr id="5" name="Picture 4">
          <a:extLst>
            <a:ext uri="{FF2B5EF4-FFF2-40B4-BE49-F238E27FC236}">
              <a16:creationId xmlns:a16="http://schemas.microsoft.com/office/drawing/2014/main" id="{09347990-4A2B-4299-9B80-84951FB896E4}"/>
            </a:ext>
          </a:extLst>
        </xdr:cNvPr>
        <xdr:cNvPicPr>
          <a:picLocks noChangeAspect="1"/>
        </xdr:cNvPicPr>
      </xdr:nvPicPr>
      <xdr:blipFill>
        <a:blip xmlns:r="http://schemas.openxmlformats.org/officeDocument/2006/relationships" r:embed="rId3"/>
        <a:stretch>
          <a:fillRect/>
        </a:stretch>
      </xdr:blipFill>
      <xdr:spPr>
        <a:xfrm>
          <a:off x="752783" y="13626895"/>
          <a:ext cx="5476875" cy="2276475"/>
        </a:xfrm>
        <a:prstGeom prst="rect">
          <a:avLst/>
        </a:prstGeom>
      </xdr:spPr>
    </xdr:pic>
    <xdr:clientData/>
  </xdr:twoCellAnchor>
  <xdr:twoCellAnchor editAs="oneCell">
    <xdr:from>
      <xdr:col>13</xdr:col>
      <xdr:colOff>553063</xdr:colOff>
      <xdr:row>45</xdr:row>
      <xdr:rowOff>30726</xdr:rowOff>
    </xdr:from>
    <xdr:to>
      <xdr:col>19</xdr:col>
      <xdr:colOff>155471</xdr:colOff>
      <xdr:row>55</xdr:row>
      <xdr:rowOff>153628</xdr:rowOff>
    </xdr:to>
    <xdr:pic>
      <xdr:nvPicPr>
        <xdr:cNvPr id="6" name="Picture 5">
          <a:extLst>
            <a:ext uri="{FF2B5EF4-FFF2-40B4-BE49-F238E27FC236}">
              <a16:creationId xmlns:a16="http://schemas.microsoft.com/office/drawing/2014/main" id="{BB8DC80B-9CC1-4B0D-8F92-4397FBEDB478}"/>
            </a:ext>
          </a:extLst>
        </xdr:cNvPr>
        <xdr:cNvPicPr>
          <a:picLocks noChangeAspect="1"/>
        </xdr:cNvPicPr>
      </xdr:nvPicPr>
      <xdr:blipFill>
        <a:blip xmlns:r="http://schemas.openxmlformats.org/officeDocument/2006/relationships" r:embed="rId4"/>
        <a:stretch>
          <a:fillRect/>
        </a:stretch>
      </xdr:blipFill>
      <xdr:spPr>
        <a:xfrm>
          <a:off x="12889474" y="14502581"/>
          <a:ext cx="7391400" cy="2550241"/>
        </a:xfrm>
        <a:prstGeom prst="rect">
          <a:avLst/>
        </a:prstGeom>
      </xdr:spPr>
    </xdr:pic>
    <xdr:clientData/>
  </xdr:twoCellAnchor>
  <xdr:twoCellAnchor editAs="oneCell">
    <xdr:from>
      <xdr:col>15</xdr:col>
      <xdr:colOff>1213669</xdr:colOff>
      <xdr:row>65</xdr:row>
      <xdr:rowOff>15363</xdr:rowOff>
    </xdr:from>
    <xdr:to>
      <xdr:col>24</xdr:col>
      <xdr:colOff>1290485</xdr:colOff>
      <xdr:row>77</xdr:row>
      <xdr:rowOff>53155</xdr:rowOff>
    </xdr:to>
    <xdr:pic>
      <xdr:nvPicPr>
        <xdr:cNvPr id="7" name="Picture 6">
          <a:extLst>
            <a:ext uri="{FF2B5EF4-FFF2-40B4-BE49-F238E27FC236}">
              <a16:creationId xmlns:a16="http://schemas.microsoft.com/office/drawing/2014/main" id="{D821DD46-7BC7-403B-AD54-F43A25134FDC}"/>
            </a:ext>
          </a:extLst>
        </xdr:cNvPr>
        <xdr:cNvPicPr>
          <a:picLocks noChangeAspect="1"/>
        </xdr:cNvPicPr>
      </xdr:nvPicPr>
      <xdr:blipFill>
        <a:blip xmlns:r="http://schemas.openxmlformats.org/officeDocument/2006/relationships" r:embed="rId5"/>
        <a:stretch>
          <a:fillRect/>
        </a:stretch>
      </xdr:blipFill>
      <xdr:spPr>
        <a:xfrm>
          <a:off x="17867056" y="19710605"/>
          <a:ext cx="10047340" cy="3171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1</xdr:row>
      <xdr:rowOff>14287</xdr:rowOff>
    </xdr:from>
    <xdr:to>
      <xdr:col>7</xdr:col>
      <xdr:colOff>523875</xdr:colOff>
      <xdr:row>15</xdr:row>
      <xdr:rowOff>155287</xdr:rowOff>
    </xdr:to>
    <xdr:graphicFrame macro="">
      <xdr:nvGraphicFramePr>
        <xdr:cNvPr id="2" name="Chart 1">
          <a:extLst>
            <a:ext uri="{FF2B5EF4-FFF2-40B4-BE49-F238E27FC236}">
              <a16:creationId xmlns:a16="http://schemas.microsoft.com/office/drawing/2014/main" id="{671EBBCF-662F-402D-93B0-6A28FE948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1</xdr:row>
      <xdr:rowOff>19050</xdr:rowOff>
    </xdr:from>
    <xdr:to>
      <xdr:col>15</xdr:col>
      <xdr:colOff>500062</xdr:colOff>
      <xdr:row>15</xdr:row>
      <xdr:rowOff>152400</xdr:rowOff>
    </xdr:to>
    <xdr:graphicFrame macro="">
      <xdr:nvGraphicFramePr>
        <xdr:cNvPr id="3" name="Chart 2">
          <a:extLst>
            <a:ext uri="{FF2B5EF4-FFF2-40B4-BE49-F238E27FC236}">
              <a16:creationId xmlns:a16="http://schemas.microsoft.com/office/drawing/2014/main" id="{02D96B80-BA6D-4D5E-90E2-60CAB348A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114300</xdr:colOff>
      <xdr:row>1</xdr:row>
      <xdr:rowOff>61912</xdr:rowOff>
    </xdr:from>
    <xdr:to>
      <xdr:col>23</xdr:col>
      <xdr:colOff>419100</xdr:colOff>
      <xdr:row>15</xdr:row>
      <xdr:rowOff>138112</xdr:rowOff>
    </xdr:to>
    <xdr:graphicFrame macro="">
      <xdr:nvGraphicFramePr>
        <xdr:cNvPr id="4" name="Chart 3">
          <a:extLst>
            <a:ext uri="{FF2B5EF4-FFF2-40B4-BE49-F238E27FC236}">
              <a16:creationId xmlns:a16="http://schemas.microsoft.com/office/drawing/2014/main" id="{A8732D91-D1DB-4A40-A53E-EB5869731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104775</xdr:colOff>
      <xdr:row>1</xdr:row>
      <xdr:rowOff>71437</xdr:rowOff>
    </xdr:from>
    <xdr:to>
      <xdr:col>31</xdr:col>
      <xdr:colOff>409575</xdr:colOff>
      <xdr:row>15</xdr:row>
      <xdr:rowOff>147637</xdr:rowOff>
    </xdr:to>
    <xdr:graphicFrame macro="">
      <xdr:nvGraphicFramePr>
        <xdr:cNvPr id="5" name="Chart 4">
          <a:extLst>
            <a:ext uri="{FF2B5EF4-FFF2-40B4-BE49-F238E27FC236}">
              <a16:creationId xmlns:a16="http://schemas.microsoft.com/office/drawing/2014/main" id="{B89BBC22-C3BE-474D-BB14-45C962292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481012</xdr:colOff>
      <xdr:row>1</xdr:row>
      <xdr:rowOff>119062</xdr:rowOff>
    </xdr:from>
    <xdr:to>
      <xdr:col>40</xdr:col>
      <xdr:colOff>176212</xdr:colOff>
      <xdr:row>16</xdr:row>
      <xdr:rowOff>4762</xdr:rowOff>
    </xdr:to>
    <xdr:graphicFrame macro="">
      <xdr:nvGraphicFramePr>
        <xdr:cNvPr id="6" name="Chart 5">
          <a:extLst>
            <a:ext uri="{FF2B5EF4-FFF2-40B4-BE49-F238E27FC236}">
              <a16:creationId xmlns:a16="http://schemas.microsoft.com/office/drawing/2014/main" id="{C4FBF1F4-7AE8-4CAB-9C6A-0D261FDEF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23</xdr:row>
      <xdr:rowOff>619124</xdr:rowOff>
    </xdr:from>
    <xdr:to>
      <xdr:col>10</xdr:col>
      <xdr:colOff>19050</xdr:colOff>
      <xdr:row>30</xdr:row>
      <xdr:rowOff>342899</xdr:rowOff>
    </xdr:to>
    <xdr:graphicFrame macro="">
      <xdr:nvGraphicFramePr>
        <xdr:cNvPr id="7" name="Chart 6">
          <a:extLst>
            <a:ext uri="{FF2B5EF4-FFF2-40B4-BE49-F238E27FC236}">
              <a16:creationId xmlns:a16="http://schemas.microsoft.com/office/drawing/2014/main" id="{C72BAF3E-F61E-4153-A2BF-ECEBB59B2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419100</xdr:colOff>
      <xdr:row>31</xdr:row>
      <xdr:rowOff>7843</xdr:rowOff>
    </xdr:from>
    <xdr:to>
      <xdr:col>18</xdr:col>
      <xdr:colOff>1038226</xdr:colOff>
      <xdr:row>63</xdr:row>
      <xdr:rowOff>44824</xdr:rowOff>
    </xdr:to>
    <xdr:graphicFrame macro="">
      <xdr:nvGraphicFramePr>
        <xdr:cNvPr id="8" name="Chart 7">
          <a:extLst>
            <a:ext uri="{FF2B5EF4-FFF2-40B4-BE49-F238E27FC236}">
              <a16:creationId xmlns:a16="http://schemas.microsoft.com/office/drawing/2014/main" id="{293FCC76-B8B2-43D7-9EFE-BB6569572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41564</xdr:colOff>
      <xdr:row>20</xdr:row>
      <xdr:rowOff>161491</xdr:rowOff>
    </xdr:from>
    <xdr:to>
      <xdr:col>5</xdr:col>
      <xdr:colOff>897948</xdr:colOff>
      <xdr:row>30</xdr:row>
      <xdr:rowOff>137679</xdr:rowOff>
    </xdr:to>
    <xdr:graphicFrame macro="">
      <xdr:nvGraphicFramePr>
        <xdr:cNvPr id="2" name="Chart 1">
          <a:extLst>
            <a:ext uri="{FF2B5EF4-FFF2-40B4-BE49-F238E27FC236}">
              <a16:creationId xmlns:a16="http://schemas.microsoft.com/office/drawing/2014/main" id="{D3448918-49D5-4859-A97D-02BE1683C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1070263</xdr:colOff>
      <xdr:row>20</xdr:row>
      <xdr:rowOff>154998</xdr:rowOff>
    </xdr:from>
    <xdr:to>
      <xdr:col>11</xdr:col>
      <xdr:colOff>696190</xdr:colOff>
      <xdr:row>30</xdr:row>
      <xdr:rowOff>131186</xdr:rowOff>
    </xdr:to>
    <xdr:graphicFrame macro="">
      <xdr:nvGraphicFramePr>
        <xdr:cNvPr id="3" name="Chart 2">
          <a:extLst>
            <a:ext uri="{FF2B5EF4-FFF2-40B4-BE49-F238E27FC236}">
              <a16:creationId xmlns:a16="http://schemas.microsoft.com/office/drawing/2014/main" id="{B41769F0-E84C-4DB3-BFB4-8689895A8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792307</xdr:colOff>
      <xdr:row>21</xdr:row>
      <xdr:rowOff>14720</xdr:rowOff>
    </xdr:from>
    <xdr:to>
      <xdr:col>17</xdr:col>
      <xdr:colOff>335108</xdr:colOff>
      <xdr:row>30</xdr:row>
      <xdr:rowOff>181408</xdr:rowOff>
    </xdr:to>
    <xdr:graphicFrame macro="">
      <xdr:nvGraphicFramePr>
        <xdr:cNvPr id="4" name="Chart 3">
          <a:extLst>
            <a:ext uri="{FF2B5EF4-FFF2-40B4-BE49-F238E27FC236}">
              <a16:creationId xmlns:a16="http://schemas.microsoft.com/office/drawing/2014/main" id="{9DAF8E22-1696-458F-936B-67D08998E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450274</xdr:colOff>
      <xdr:row>21</xdr:row>
      <xdr:rowOff>1</xdr:rowOff>
    </xdr:from>
    <xdr:to>
      <xdr:col>25</xdr:col>
      <xdr:colOff>148938</xdr:colOff>
      <xdr:row>30</xdr:row>
      <xdr:rowOff>166689</xdr:rowOff>
    </xdr:to>
    <xdr:graphicFrame macro="">
      <xdr:nvGraphicFramePr>
        <xdr:cNvPr id="5" name="Chart 4">
          <a:extLst>
            <a:ext uri="{FF2B5EF4-FFF2-40B4-BE49-F238E27FC236}">
              <a16:creationId xmlns:a16="http://schemas.microsoft.com/office/drawing/2014/main" id="{A259A919-4690-4749-AC50-D599BF996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409143</xdr:colOff>
      <xdr:row>9</xdr:row>
      <xdr:rowOff>58449</xdr:rowOff>
    </xdr:from>
    <xdr:to>
      <xdr:col>25</xdr:col>
      <xdr:colOff>94818</xdr:colOff>
      <xdr:row>20</xdr:row>
      <xdr:rowOff>82261</xdr:rowOff>
    </xdr:to>
    <xdr:graphicFrame macro="">
      <xdr:nvGraphicFramePr>
        <xdr:cNvPr id="6" name="Chart 5">
          <a:extLst>
            <a:ext uri="{FF2B5EF4-FFF2-40B4-BE49-F238E27FC236}">
              <a16:creationId xmlns:a16="http://schemas.microsoft.com/office/drawing/2014/main" id="{68E8ADE7-D01F-4881-860E-253FCC105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22</xdr:col>
      <xdr:colOff>139700</xdr:colOff>
      <xdr:row>28</xdr:row>
      <xdr:rowOff>136525</xdr:rowOff>
    </xdr:from>
    <xdr:to>
      <xdr:col>32</xdr:col>
      <xdr:colOff>409575</xdr:colOff>
      <xdr:row>38</xdr:row>
      <xdr:rowOff>136525</xdr:rowOff>
    </xdr:to>
    <xdr:graphicFrame macro="">
      <xdr:nvGraphicFramePr>
        <xdr:cNvPr id="15" name="Chart 14">
          <a:extLst>
            <a:ext uri="{FF2B5EF4-FFF2-40B4-BE49-F238E27FC236}">
              <a16:creationId xmlns:a16="http://schemas.microsoft.com/office/drawing/2014/main" id="{8620C9A9-733D-4518-BA2C-52AEA5B2C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552450</xdr:colOff>
      <xdr:row>39</xdr:row>
      <xdr:rowOff>152400</xdr:rowOff>
    </xdr:from>
    <xdr:to>
      <xdr:col>25</xdr:col>
      <xdr:colOff>60325</xdr:colOff>
      <xdr:row>49</xdr:row>
      <xdr:rowOff>168275</xdr:rowOff>
    </xdr:to>
    <xdr:graphicFrame macro="">
      <xdr:nvGraphicFramePr>
        <xdr:cNvPr id="16" name="Chart 15">
          <a:extLst>
            <a:ext uri="{FF2B5EF4-FFF2-40B4-BE49-F238E27FC236}">
              <a16:creationId xmlns:a16="http://schemas.microsoft.com/office/drawing/2014/main" id="{A87641B0-853B-403F-9B6F-339AFBCD2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409575</xdr:colOff>
      <xdr:row>40</xdr:row>
      <xdr:rowOff>9525</xdr:rowOff>
    </xdr:from>
    <xdr:to>
      <xdr:col>15</xdr:col>
      <xdr:colOff>377825</xdr:colOff>
      <xdr:row>50</xdr:row>
      <xdr:rowOff>41275</xdr:rowOff>
    </xdr:to>
    <xdr:graphicFrame macro="">
      <xdr:nvGraphicFramePr>
        <xdr:cNvPr id="17" name="Chart 16">
          <a:extLst>
            <a:ext uri="{FF2B5EF4-FFF2-40B4-BE49-F238E27FC236}">
              <a16:creationId xmlns:a16="http://schemas.microsoft.com/office/drawing/2014/main" id="{3165F2DE-8553-4423-95C1-070E80B51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123825</xdr:colOff>
      <xdr:row>29</xdr:row>
      <xdr:rowOff>9525</xdr:rowOff>
    </xdr:from>
    <xdr:to>
      <xdr:col>14</xdr:col>
      <xdr:colOff>727075</xdr:colOff>
      <xdr:row>39</xdr:row>
      <xdr:rowOff>25400</xdr:rowOff>
    </xdr:to>
    <xdr:graphicFrame macro="">
      <xdr:nvGraphicFramePr>
        <xdr:cNvPr id="18" name="Chart 17">
          <a:extLst>
            <a:ext uri="{FF2B5EF4-FFF2-40B4-BE49-F238E27FC236}">
              <a16:creationId xmlns:a16="http://schemas.microsoft.com/office/drawing/2014/main" id="{8C43829E-9123-4B97-9627-5C80E75A9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933450</xdr:colOff>
      <xdr:row>28</xdr:row>
      <xdr:rowOff>136525</xdr:rowOff>
    </xdr:from>
    <xdr:to>
      <xdr:col>22</xdr:col>
      <xdr:colOff>28575</xdr:colOff>
      <xdr:row>38</xdr:row>
      <xdr:rowOff>136525</xdr:rowOff>
    </xdr:to>
    <xdr:graphicFrame macro="">
      <xdr:nvGraphicFramePr>
        <xdr:cNvPr id="19" name="Chart 18">
          <a:extLst>
            <a:ext uri="{FF2B5EF4-FFF2-40B4-BE49-F238E27FC236}">
              <a16:creationId xmlns:a16="http://schemas.microsoft.com/office/drawing/2014/main" id="{CA4AE5D4-5D48-4C3C-8B98-C7F75CE82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139700</xdr:colOff>
      <xdr:row>15</xdr:row>
      <xdr:rowOff>57150</xdr:rowOff>
    </xdr:from>
    <xdr:to>
      <xdr:col>6</xdr:col>
      <xdr:colOff>219075</xdr:colOff>
      <xdr:row>25</xdr:row>
      <xdr:rowOff>57150</xdr:rowOff>
    </xdr:to>
    <xdr:graphicFrame macro="">
      <xdr:nvGraphicFramePr>
        <xdr:cNvPr id="20" name="Chart 19">
          <a:extLst>
            <a:ext uri="{FF2B5EF4-FFF2-40B4-BE49-F238E27FC236}">
              <a16:creationId xmlns:a16="http://schemas.microsoft.com/office/drawing/2014/main" id="{12F25F45-C7EC-4EF7-A2FF-ABD9C0F28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187325</xdr:colOff>
      <xdr:row>15</xdr:row>
      <xdr:rowOff>73026</xdr:rowOff>
    </xdr:from>
    <xdr:to>
      <xdr:col>11</xdr:col>
      <xdr:colOff>44450</xdr:colOff>
      <xdr:row>25</xdr:row>
      <xdr:rowOff>79376</xdr:rowOff>
    </xdr:to>
    <xdr:graphicFrame macro="">
      <xdr:nvGraphicFramePr>
        <xdr:cNvPr id="21" name="Chart 20">
          <a:extLst>
            <a:ext uri="{FF2B5EF4-FFF2-40B4-BE49-F238E27FC236}">
              <a16:creationId xmlns:a16="http://schemas.microsoft.com/office/drawing/2014/main" id="{1FC794E0-FDFB-4A9F-A9BB-CF10E794E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44450</xdr:colOff>
      <xdr:row>15</xdr:row>
      <xdr:rowOff>57150</xdr:rowOff>
    </xdr:from>
    <xdr:to>
      <xdr:col>15</xdr:col>
      <xdr:colOff>31750</xdr:colOff>
      <xdr:row>25</xdr:row>
      <xdr:rowOff>57150</xdr:rowOff>
    </xdr:to>
    <xdr:graphicFrame macro="">
      <xdr:nvGraphicFramePr>
        <xdr:cNvPr id="22" name="Chart 21">
          <a:extLst>
            <a:ext uri="{FF2B5EF4-FFF2-40B4-BE49-F238E27FC236}">
              <a16:creationId xmlns:a16="http://schemas.microsoft.com/office/drawing/2014/main" id="{CA64D077-C14A-4F47-A805-92A5F6EF5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981075</xdr:colOff>
      <xdr:row>15</xdr:row>
      <xdr:rowOff>73025</xdr:rowOff>
    </xdr:from>
    <xdr:to>
      <xdr:col>19</xdr:col>
      <xdr:colOff>298450</xdr:colOff>
      <xdr:row>25</xdr:row>
      <xdr:rowOff>57150</xdr:rowOff>
    </xdr:to>
    <xdr:graphicFrame macro="">
      <xdr:nvGraphicFramePr>
        <xdr:cNvPr id="23" name="Chart 22">
          <a:extLst>
            <a:ext uri="{FF2B5EF4-FFF2-40B4-BE49-F238E27FC236}">
              <a16:creationId xmlns:a16="http://schemas.microsoft.com/office/drawing/2014/main" id="{7C837EBE-9F40-41AD-BAD7-B56996745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298450</xdr:colOff>
      <xdr:row>15</xdr:row>
      <xdr:rowOff>57150</xdr:rowOff>
    </xdr:from>
    <xdr:to>
      <xdr:col>25</xdr:col>
      <xdr:colOff>298450</xdr:colOff>
      <xdr:row>25</xdr:row>
      <xdr:rowOff>57150</xdr:rowOff>
    </xdr:to>
    <xdr:graphicFrame macro="">
      <xdr:nvGraphicFramePr>
        <xdr:cNvPr id="24" name="Chart 23">
          <a:extLst>
            <a:ext uri="{FF2B5EF4-FFF2-40B4-BE49-F238E27FC236}">
              <a16:creationId xmlns:a16="http://schemas.microsoft.com/office/drawing/2014/main" id="{7996DBC2-0DCE-4192-BF6F-8B559B0F9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222250</xdr:colOff>
      <xdr:row>55</xdr:row>
      <xdr:rowOff>1</xdr:rowOff>
    </xdr:from>
    <xdr:to>
      <xdr:col>7</xdr:col>
      <xdr:colOff>142875</xdr:colOff>
      <xdr:row>69</xdr:row>
      <xdr:rowOff>142875</xdr:rowOff>
    </xdr:to>
    <xdr:graphicFrame macro="">
      <xdr:nvGraphicFramePr>
        <xdr:cNvPr id="25" name="Chart 24">
          <a:extLst>
            <a:ext uri="{FF2B5EF4-FFF2-40B4-BE49-F238E27FC236}">
              <a16:creationId xmlns:a16="http://schemas.microsoft.com/office/drawing/2014/main" id="{26D42C2A-4025-4FBF-8FBE-8C490826F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12BEF6-F392-40B4-9BA0-011696DB236D}" name="Tableau1" displayName="Tableau1" ref="A3:F13" totalsRowShown="0" headerRowDxfId="74" dataDxfId="73">
  <autoFilter ref="A3:F13" xr:uid="{3012BEF6-F392-40B4-9BA0-011696DB236D}"/>
  <tableColumns count="6">
    <tableColumn id="1" xr3:uid="{0939C4A2-3630-4BE8-91E4-BC79EA87C2FF}" name="Années " dataDxfId="72"/>
    <tableColumn id="2" xr3:uid="{7E0AD422-5BCB-480F-B735-7F39E288193C}" name="Electricité" dataDxfId="71"/>
    <tableColumn id="3" xr3:uid="{CAE7A2C4-5852-4788-B8D5-4AFE60301002}" name="Gaz natuel" dataDxfId="70"/>
    <tableColumn id="4" xr3:uid="{71F07828-CF2F-4788-BC0C-93C118DC6854}" name="Fioul domestique" dataDxfId="69"/>
    <tableColumn id="5" xr3:uid="{76B16A56-A265-4583-A436-A1E7CD4F7CFE}" name="Petrole " dataDxfId="68"/>
    <tableColumn id="6" xr3:uid="{E10E83CA-1B82-4214-81C6-23B11A115DDC}" name="Bois" dataDxfId="67"/>
  </tableColumns>
  <tableStyleInfo name="TableStyleMedium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AAF2D1-9037-4186-8079-F7BB382923EC}" name="Tableau13" displayName="Tableau13" ref="B4:G14" totalsRowShown="0" dataDxfId="20" headerRowCellStyle="Neutral" dataCellStyle="Neutral">
  <autoFilter ref="B4:G14" xr:uid="{11AAF2D1-9037-4186-8079-F7BB382923EC}"/>
  <tableColumns count="6">
    <tableColumn id="1" xr3:uid="{EC3D9ADB-7CB1-47D4-8D29-FA6225425C03}" name="Années " dataDxfId="19" dataCellStyle="Neutral"/>
    <tableColumn id="2" xr3:uid="{D08738E6-D391-4A82-AA2E-C9AD43C95441}" name="Electricité" dataDxfId="18" dataCellStyle="Neutral"/>
    <tableColumn id="3" xr3:uid="{11C5EE3F-831B-4215-8579-7B1BB362B112}" name="Gaz natuel" dataDxfId="17" dataCellStyle="Neutral"/>
    <tableColumn id="4" xr3:uid="{7FCD0FDA-3410-421D-BEA8-4329831F48E2}" name="Fioul domestique" dataDxfId="16" dataCellStyle="Neutral"/>
    <tableColumn id="5" xr3:uid="{E07CCB50-F1FE-4CC4-A4C6-AC7CA0CFD87B}" name="Petrole " dataDxfId="15" dataCellStyle="Neutral"/>
    <tableColumn id="6" xr3:uid="{1C41CCFA-5035-4EAC-8280-C2235FEEE643}" name="Bois" dataDxfId="14" dataCellStyle="Neutral"/>
  </tableColumns>
  <tableStyleInfo name="TableStyleMedium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CCEB6F1-B9F9-4B4E-A7EE-B4FE02FA1ABB}" name="Table39" displayName="Table39" ref="J5:P15" totalsRowShown="0" dataDxfId="13" tableBorderDxfId="12" headerRowCellStyle="Warning Text" dataCellStyle="Warning Text">
  <autoFilter ref="J5:P15" xr:uid="{5CCEB6F1-B9F9-4B4E-A7EE-B4FE02FA1ABB}"/>
  <tableColumns count="7">
    <tableColumn id="1" xr3:uid="{CB38611A-1A2B-4C79-906B-822CB46782F3}" name="Années " dataDxfId="11" dataCellStyle="Warning Text"/>
    <tableColumn id="2" xr3:uid="{6B75AA5A-2164-4BD3-969D-111304A569C7}" name="Cons, Elec" dataDxfId="10" dataCellStyle="Warning Text"/>
    <tableColumn id="3" xr3:uid="{295B4BDC-4646-4513-AD05-4D00E3879AA3}" name="Conso, Gaz N" dataDxfId="9" dataCellStyle="Warning Text"/>
    <tableColumn id="4" xr3:uid="{06072198-6F2D-42FF-A2A7-6E306E5F7B27}" name="Conso, Fioul" dataDxfId="8" dataCellStyle="Warning Text"/>
    <tableColumn id="5" xr3:uid="{255D4E5B-CA4B-46DF-AA26-3FF4B73939DD}" name="Conso, Petrole" dataDxfId="7" dataCellStyle="Warning Text"/>
    <tableColumn id="6" xr3:uid="{90AB8DCB-284A-4E4B-AB30-E23F5C8A2CB4}" name="Conso, Bois" dataDxfId="6" dataCellStyle="Warning Text"/>
    <tableColumn id="7" xr3:uid="{46ABA55B-46D1-4452-8853-28DE78A5590A}" name="Conso, Totales" dataDxfId="5" dataCellStyle="Warning Text">
      <calculatedColumnFormula>SUM(Table39[[#This Row],[Cons, Elec]:[Conso, Bois]])</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492D84-1190-497E-89C0-BFCB4BC5D44D}" name="Tableau2" displayName="Tableau2" ref="A27:F37" totalsRowShown="0" headerRowDxfId="66" dataDxfId="65">
  <autoFilter ref="A27:F37" xr:uid="{84492D84-1190-497E-89C0-BFCB4BC5D44D}"/>
  <tableColumns count="6">
    <tableColumn id="1" xr3:uid="{D7747E17-E16F-4776-BF26-24E2E55E13D8}" name="Années" dataDxfId="64"/>
    <tableColumn id="2" xr3:uid="{43BCF99B-D10A-4CA3-A3FA-0E0F505D3CF1}" name="Electricité" dataDxfId="63">
      <calculatedColumnFormula>B4*K4</calculatedColumnFormula>
    </tableColumn>
    <tableColumn id="3" xr3:uid="{9D931858-B311-442B-91ED-F416327A41CC}" name="Gaz naturel" dataDxfId="62">
      <calculatedColumnFormula>C4*L4</calculatedColumnFormula>
    </tableColumn>
    <tableColumn id="4" xr3:uid="{721CB81B-33CB-4C8F-A055-8BEEF32E64E1}" name="Fioul domestique" dataDxfId="61">
      <calculatedColumnFormula>D4*M4</calculatedColumnFormula>
    </tableColumn>
    <tableColumn id="5" xr3:uid="{75B7F6D6-BE49-4869-B4E5-484DDA4062A6}" name="Petrole" dataDxfId="60">
      <calculatedColumnFormula>E4*N4</calculatedColumnFormula>
    </tableColumn>
    <tableColumn id="6" xr3:uid="{A001B3AB-9C52-4826-91D8-976CA73BDD48}" name="Bois" dataDxfId="59">
      <calculatedColumnFormula>F4*O4</calculatedColumnFormula>
    </tableColumn>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37CB9-159E-4ED1-A811-E141265413DC}" name="Tableau16" displayName="Tableau16" ref="K27:P37" totalsRowShown="0" headerRowDxfId="58" dataDxfId="57">
  <autoFilter ref="K27:P37" xr:uid="{4AB37CB9-159E-4ED1-A811-E141265413DC}"/>
  <tableColumns count="6">
    <tableColumn id="1" xr3:uid="{25AE91A8-653D-4680-9324-16737873F637}" name="Années " dataDxfId="56"/>
    <tableColumn id="2" xr3:uid="{6E306779-F314-40F4-B1F5-26269EC6D172}" name="Electricité" dataDxfId="55">
      <calculatedColumnFormula>I35</calculatedColumnFormula>
    </tableColumn>
    <tableColumn id="3" xr3:uid="{55532C88-9EEA-4BC5-A2BF-50A9E86845AE}" name="Gaz natuel" dataDxfId="54"/>
    <tableColumn id="4" xr3:uid="{D69AA0D1-2357-48F4-BD96-93C9B87D86C4}" name="Bois" dataDxfId="53"/>
    <tableColumn id="5" xr3:uid="{E8C9D017-4B40-43A6-B17C-8DD3688C1AD8}" name="Petrole " dataDxfId="52"/>
    <tableColumn id="6" xr3:uid="{B5FAB665-B4C7-4B25-95AA-65606C484D69}" name="Fioul domestique" dataDxfId="51"/>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39DCC50-15E5-4FBA-AFD7-41B13921672F}" name="Tableau167" displayName="Tableau167" ref="A44:F54" totalsRowShown="0" headerRowDxfId="50" dataDxfId="49">
  <autoFilter ref="A44:F54" xr:uid="{939DCC50-15E5-4FBA-AFD7-41B13921672F}"/>
  <tableColumns count="6">
    <tableColumn id="1" xr3:uid="{3D32B102-9732-4FA3-9ECC-F00A410F9BD0}" name="Années " dataDxfId="48"/>
    <tableColumn id="2" xr3:uid="{56934B2A-B875-481F-B6C6-3095A68BA59D}" name="Electricité" dataDxfId="47">
      <calculatedColumnFormula>L28-B28</calculatedColumnFormula>
    </tableColumn>
    <tableColumn id="3" xr3:uid="{15F89712-DB8C-4A3E-9246-A17065E1BE7D}" name="Gaz natuel" dataDxfId="46">
      <calculatedColumnFormula>M28-C28</calculatedColumnFormula>
    </tableColumn>
    <tableColumn id="4" xr3:uid="{BC218832-44B2-4456-A4C1-D089AB3C81DB}" name="Bois" dataDxfId="45">
      <calculatedColumnFormula>N28-F28</calculatedColumnFormula>
    </tableColumn>
    <tableColumn id="5" xr3:uid="{EE28EABA-A30A-4D1D-8DA1-4C99787A7868}" name="Petrole " dataDxfId="44">
      <calculatedColumnFormula>O28-E28</calculatedColumnFormula>
    </tableColumn>
    <tableColumn id="6" xr3:uid="{0BAF77F1-6353-421D-A8C8-FF9DF9041969}" name="Fioul domestique" dataDxfId="43">
      <calculatedColumnFormula>P28-D28</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C606BEB-BC08-4D87-BEC0-3CF64C89ECC2}" name="Table17" displayName="Table17" ref="K58:M63" totalsRowShown="0" headerRowDxfId="42" dataDxfId="41">
  <autoFilter ref="K58:M63" xr:uid="{2C606BEB-BC08-4D87-BEC0-3CF64C89ECC2}"/>
  <tableColumns count="3">
    <tableColumn id="1" xr3:uid="{5134FEE4-FB81-4306-8DB1-4AF28D925319}" name="Energies" dataDxfId="40"/>
    <tableColumn id="2" xr3:uid="{27EDB517-4BF2-4812-B0FE-BD1B33C8BEC4}" name="VAN MOYENNE" dataDxfId="39">
      <calculatedColumnFormula>AVERAGE(Table19[Electricité])</calculatedColumnFormula>
    </tableColumn>
    <tableColumn id="3" xr3:uid="{689E8169-5D42-4067-B765-86E61034BF63}" name="Ecart-type" dataDxfId="38"/>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0379792-4E71-4220-A22D-60306E2AB0BC}" name="Table19" displayName="Table19" ref="K42:P52" totalsRowShown="0" headerRowDxfId="37" dataDxfId="36" tableBorderDxfId="35">
  <autoFilter ref="K42:P52" xr:uid="{10379792-4E71-4220-A22D-60306E2AB0BC}"/>
  <tableColumns count="6">
    <tableColumn id="1" xr3:uid="{63B309AC-66B0-49DA-A64C-F5216DFC580E}" name="Années " dataDxfId="34"/>
    <tableColumn id="2" xr3:uid="{2C00D238-9336-4012-8388-FB823A3E7855}" name="Electricité" dataDxfId="33">
      <calculatedColumnFormula>NPV(H43,B45)</calculatedColumnFormula>
    </tableColumn>
    <tableColumn id="3" xr3:uid="{464D7DE4-0FE6-4CF7-A14C-78FA1B1526E3}" name="Gaz natuel" dataDxfId="32">
      <calculatedColumnFormula>NPV(H43,C45)</calculatedColumnFormula>
    </tableColumn>
    <tableColumn id="4" xr3:uid="{D92CBA28-1590-4728-860C-6C554EEE29F3}" name="Bois" dataDxfId="31">
      <calculatedColumnFormula>NPV(H43,D45)</calculatedColumnFormula>
    </tableColumn>
    <tableColumn id="5" xr3:uid="{50440099-A835-4B4D-9D53-916B883FDA78}" name="Petrole " dataDxfId="30"/>
    <tableColumn id="6" xr3:uid="{FFBA0965-7102-4981-9F71-FC9C82EBEFFA}" name="Fioul domestique" dataDxfId="29">
      <calculatedColumnFormula>NPV(H43,F45)</calculatedColumnFormula>
    </tableColumn>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B09A1A-3835-4201-AC8E-64B68213846E}" name="Table3" displayName="Table3" ref="J3:O13" totalsRowShown="0" dataDxfId="28" tableBorderDxfId="27">
  <autoFilter ref="J3:O13" xr:uid="{BAB09A1A-3835-4201-AC8E-64B68213846E}"/>
  <tableColumns count="6">
    <tableColumn id="1" xr3:uid="{00627219-97A6-4F71-BD23-161FC47A14F4}" name="Années " dataDxfId="26"/>
    <tableColumn id="2" xr3:uid="{95427891-D84D-4F2B-9695-820EA95EE3E5}" name="Cons, Elec" dataDxfId="25"/>
    <tableColumn id="3" xr3:uid="{03F21A4E-3206-4A16-A473-A34BA8DA6BCE}" name="Conso, Gaz N" dataDxfId="24"/>
    <tableColumn id="4" xr3:uid="{3C7C3961-659E-4939-A0EB-6C7344A36AA8}" name="Conso, Fioul" dataDxfId="23"/>
    <tableColumn id="5" xr3:uid="{D8F3284F-FB90-4AA7-B380-F5094BA4D2E5}" name="Conso, Petrole" dataDxfId="22"/>
    <tableColumn id="6" xr3:uid="{514DCBB7-774D-40C8-BF62-699E564B20A3}" name="Conso, Bois" dataDxfId="21"/>
  </tableColumns>
  <tableStyleInfo name="TableStyleMedium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5F4A1D9-3AA6-4537-9DF6-4037F4785C1E}" name="Table7" displayName="Table7" ref="C10:H20" totalsRowShown="0">
  <autoFilter ref="C10:H20" xr:uid="{95F4A1D9-3AA6-4537-9DF6-4037F4785C1E}"/>
  <tableColumns count="6">
    <tableColumn id="1" xr3:uid="{0F9F781E-F66F-470B-A6B9-2039909540F3}" name="Années"/>
    <tableColumn id="2" xr3:uid="{1D7BC2B8-46EF-47BA-8235-30D47721878F}" name="Electricité" dataDxfId="4">
      <calculatedColumnFormula>Données1!L28/Données1!K4</calculatedColumnFormula>
    </tableColumn>
    <tableColumn id="3" xr3:uid="{BD55B290-5439-478E-B4F6-B33C32724807}" name="Gaz natuel" dataDxfId="3">
      <calculatedColumnFormula>Données1!M28/Données1!L4</calculatedColumnFormula>
    </tableColumn>
    <tableColumn id="4" xr3:uid="{56F94DA5-14ED-4992-BF88-A81DC2601C35}" name="Fioul domestique" dataDxfId="2">
      <calculatedColumnFormula>Données1!P28/Données1!M4</calculatedColumnFormula>
    </tableColumn>
    <tableColumn id="5" xr3:uid="{7AD51FAB-524E-4FDF-8350-51447CEB710C}" name="Petrole " dataDxfId="1">
      <calculatedColumnFormula>Données1!O28/Données1!N4</calculatedColumnFormula>
    </tableColumn>
    <tableColumn id="6" xr3:uid="{B4E13C42-3DA9-4FCA-B3ED-AC3B7AF55151}" name="Bois" dataDxfId="0">
      <calculatedColumnFormula>Données1!P28/Données1!O4</calculatedColumnFormula>
    </tableColumn>
  </tableColumns>
  <tableStyleInfo name="TableStyleLight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4897DC8-18F1-450E-9CFD-492B053B1C4A}" name="Table9" displayName="Table9" ref="K10:P20" totalsRowShown="0">
  <autoFilter ref="K10:P20" xr:uid="{F4897DC8-18F1-450E-9CFD-492B053B1C4A}"/>
  <tableColumns count="6">
    <tableColumn id="1" xr3:uid="{E2462D8A-E6A1-4247-BA3A-01B6F16E8A53}" name="Années">
      <calculatedColumnFormula>Table7[[#This Row],[Années]]</calculatedColumnFormula>
    </tableColumn>
    <tableColumn id="2" xr3:uid="{26943A19-0360-42AF-891E-3E2BC8239D74}" name="Electricité">
      <calculatedColumnFormula>Données1!B4</calculatedColumnFormula>
    </tableColumn>
    <tableColumn id="3" xr3:uid="{CB9D0D44-C64C-4439-84C2-D42269C72992}" name="Gaz natuel">
      <calculatedColumnFormula>Données1!C4</calculatedColumnFormula>
    </tableColumn>
    <tableColumn id="4" xr3:uid="{DBF8BCCF-2E8F-48D2-82C7-3D2C1B17E4F4}" name="Fioul domestique">
      <calculatedColumnFormula>Données1!D4</calculatedColumnFormula>
    </tableColumn>
    <tableColumn id="5" xr3:uid="{85361CDF-3AA7-4A45-8D8F-4730FEAF1827}" name="Petrole ">
      <calculatedColumnFormula>Données1!E4</calculatedColumnFormula>
    </tableColumn>
    <tableColumn id="6" xr3:uid="{AF02FC01-4124-4233-B0DD-BCD3E6BFB8F4}" name="Bois">
      <calculatedColumnFormula>Données1!F4</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tatistiques.developpement-durable.gouv.fr/les-reseaux-de-chaleur-et-froid-en-2023?list-chiffres=true" TargetMode="External"/><Relationship Id="rId13" Type="http://schemas.openxmlformats.org/officeDocument/2006/relationships/table" Target="../tables/table1.xml"/><Relationship Id="rId18" Type="http://schemas.openxmlformats.org/officeDocument/2006/relationships/table" Target="../tables/table6.xml"/><Relationship Id="rId3" Type="http://schemas.openxmlformats.org/officeDocument/2006/relationships/hyperlink" Target="https://view.officeapps.live.com/op/view.aspx?src=https%3A%2F%2Fwww.statistiques.developpement-durable.gouv.fr%2Fmedia%2F7827%2Fdownload%3Finline&amp;wdOrigin=BROWSELINK" TargetMode="External"/><Relationship Id="rId7" Type="http://schemas.openxmlformats.org/officeDocument/2006/relationships/hyperlink" Target="https://view.officeapps.live.com/op/view.aspx?src=https%3A%2F%2Fwww.statistiques.developpement-durable.gouv.fr%2Fmedia%2F6410%2Fdownload%3Finline&amp;wdOrigin=BROWSELINK" TargetMode="External"/><Relationship Id="rId12" Type="http://schemas.openxmlformats.org/officeDocument/2006/relationships/printerSettings" Target="../printerSettings/printerSettings1.bin"/><Relationship Id="rId17" Type="http://schemas.openxmlformats.org/officeDocument/2006/relationships/table" Target="../tables/table5.xml"/><Relationship Id="rId2" Type="http://schemas.openxmlformats.org/officeDocument/2006/relationships/hyperlink" Target="https://www.insee.fr/fr/statistiques/serie/000442573" TargetMode="External"/><Relationship Id="rId16" Type="http://schemas.openxmlformats.org/officeDocument/2006/relationships/table" Target="../tables/table4.xml"/><Relationship Id="rId1" Type="http://schemas.openxmlformats.org/officeDocument/2006/relationships/hyperlink" Target="https://www.statistiques.developpement-durable.gouv.fr/catalogue?page=dataset&amp;datasetId=631b03afb61e5c6479370169" TargetMode="External"/><Relationship Id="rId6" Type="http://schemas.openxmlformats.org/officeDocument/2006/relationships/hyperlink" Target="https://www.statistiques.developpement-durable.gouv.fr/consommation-denergie-par-usage-du-residentiel?rubrique=&amp;dossier=168" TargetMode="External"/><Relationship Id="rId11" Type="http://schemas.openxmlformats.org/officeDocument/2006/relationships/hyperlink" Target="https://www.euro-petrole.com/la-consommation-francaise-de-produits-energetiques-en-mai-2025-n-f-28589" TargetMode="External"/><Relationship Id="rId5" Type="http://schemas.openxmlformats.org/officeDocument/2006/relationships/hyperlink" Target="https://www.fournisseurs-electricite.com/compteur/consommation-electrique/moyenne" TargetMode="External"/><Relationship Id="rId15" Type="http://schemas.openxmlformats.org/officeDocument/2006/relationships/table" Target="../tables/table3.xml"/><Relationship Id="rId10" Type="http://schemas.openxmlformats.org/officeDocument/2006/relationships/hyperlink" Target="https://selectra.info/energie/bois" TargetMode="External"/><Relationship Id="rId19" Type="http://schemas.openxmlformats.org/officeDocument/2006/relationships/table" Target="../tables/table7.xml"/><Relationship Id="rId4" Type="http://schemas.openxmlformats.org/officeDocument/2006/relationships/hyperlink" Target="https://www.statistiques.developpement-durable.gouv.fr/media/8401/download?inline" TargetMode="External"/><Relationship Id="rId9" Type="http://schemas.openxmlformats.org/officeDocument/2006/relationships/hyperlink" Target="https://www.kelwatt.fr/guide/conso/moyenne-gaz" TargetMode="External"/><Relationship Id="rId1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insee.fr/fr/statistiques/serie/001764286" TargetMode="External"/><Relationship Id="rId13" Type="http://schemas.openxmlformats.org/officeDocument/2006/relationships/drawing" Target="../drawings/drawing1.xml"/><Relationship Id="rId3" Type="http://schemas.openxmlformats.org/officeDocument/2006/relationships/hyperlink" Target="https://www.kelwatt.fr/prix/kwh-gaz" TargetMode="External"/><Relationship Id="rId7" Type="http://schemas.openxmlformats.org/officeDocument/2006/relationships/hyperlink" Target="https://www.proxi-totalenergies.fr/particuliers/fioul/acheter-du-fioul/le-calcul-du-prix-du-fioul" TargetMode="External"/><Relationship Id="rId12" Type="http://schemas.openxmlformats.org/officeDocument/2006/relationships/printerSettings" Target="../printerSettings/printerSettings2.bin"/><Relationship Id="rId2" Type="http://schemas.openxmlformats.org/officeDocument/2006/relationships/hyperlink" Target="https://www.kelwatt.fr/guide/energie/trv-tarifs-reglementes" TargetMode="External"/><Relationship Id="rId1" Type="http://schemas.openxmlformats.org/officeDocument/2006/relationships/hyperlink" Target="https://entreprendre.service-public.fr/vosdroits/F38006" TargetMode="External"/><Relationship Id="rId6" Type="http://schemas.openxmlformats.org/officeDocument/2006/relationships/hyperlink" Target="https://www.bois-de-chauffage.net/les-fournisseurs-de-bois-de-chauffage/38000_GRENOBLE/buches.php" TargetMode="External"/><Relationship Id="rId11" Type="http://schemas.openxmlformats.org/officeDocument/2006/relationships/hyperlink" Target="https://www.insee.fr/fr/statistiques/serie/001765608" TargetMode="External"/><Relationship Id="rId5" Type="http://schemas.openxmlformats.org/officeDocument/2006/relationships/hyperlink" Target="https://www.kelwatt.fr/prix/gaz/repere-cre" TargetMode="External"/><Relationship Id="rId10" Type="http://schemas.openxmlformats.org/officeDocument/2006/relationships/hyperlink" Target="https://www.ecologie.gouv.fr/politiques-publiques/prix-produits-petroliers" TargetMode="External"/><Relationship Id="rId4" Type="http://schemas.openxmlformats.org/officeDocument/2006/relationships/hyperlink" Target="https://www.kelwatt.fr/prix/gaz/repere-cre" TargetMode="External"/><Relationship Id="rId9" Type="http://schemas.openxmlformats.org/officeDocument/2006/relationships/hyperlink" Target="https://www.primagaz.fr/guide-choisir-energie/comparer-gaz-propane/fioul-gaz-propane/comparer-litre-tonne-kwh"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19E3A-B88F-4E82-84B6-D1DF88054112}">
  <dimension ref="A1:U63"/>
  <sheetViews>
    <sheetView zoomScale="78" zoomScaleNormal="78" workbookViewId="0">
      <selection activeCell="B4" sqref="B4"/>
    </sheetView>
  </sheetViews>
  <sheetFormatPr defaultRowHeight="15"/>
  <cols>
    <col min="1" max="1" width="12.7109375" customWidth="1"/>
    <col min="2" max="2" width="18.28515625" customWidth="1"/>
    <col min="3" max="3" width="14.42578125" customWidth="1"/>
    <col min="4" max="4" width="21" customWidth="1"/>
    <col min="5" max="5" width="16.42578125" customWidth="1"/>
    <col min="6" max="6" width="22.42578125" customWidth="1"/>
    <col min="8" max="8" width="13.28515625" customWidth="1"/>
    <col min="9" max="9" width="20.7109375" customWidth="1"/>
    <col min="10" max="10" width="11.7109375" customWidth="1"/>
    <col min="11" max="11" width="27.28515625" customWidth="1"/>
    <col min="12" max="12" width="30.140625" customWidth="1"/>
    <col min="13" max="13" width="31.5703125" customWidth="1"/>
    <col min="14" max="14" width="17.85546875" customWidth="1"/>
    <col min="15" max="15" width="19" customWidth="1"/>
    <col min="16" max="16" width="27.42578125" customWidth="1"/>
  </cols>
  <sheetData>
    <row r="1" spans="1:21" ht="19.5">
      <c r="A1" s="147" t="s">
        <v>26</v>
      </c>
      <c r="B1" s="147"/>
      <c r="C1" s="147"/>
      <c r="D1" s="147"/>
      <c r="E1" s="147"/>
      <c r="F1" s="147"/>
      <c r="J1" s="15" t="s">
        <v>11</v>
      </c>
      <c r="K1" s="15"/>
      <c r="L1" s="15"/>
      <c r="M1" s="15"/>
      <c r="N1" s="15"/>
      <c r="O1" s="15"/>
    </row>
    <row r="2" spans="1:21">
      <c r="A2" s="1"/>
      <c r="B2" s="1"/>
      <c r="C2" s="1"/>
      <c r="D2" s="1"/>
      <c r="E2" s="1"/>
      <c r="F2" s="1"/>
      <c r="G2" s="1"/>
    </row>
    <row r="3" spans="1:21" ht="15.75">
      <c r="A3" s="2" t="s">
        <v>0</v>
      </c>
      <c r="B3" s="1" t="s">
        <v>1</v>
      </c>
      <c r="C3" s="1" t="s">
        <v>2</v>
      </c>
      <c r="D3" s="1" t="s">
        <v>3</v>
      </c>
      <c r="E3" s="2" t="s">
        <v>4</v>
      </c>
      <c r="F3" s="2" t="s">
        <v>5</v>
      </c>
      <c r="G3" s="1"/>
      <c r="J3" s="11" t="s">
        <v>8</v>
      </c>
      <c r="K3" s="5" t="s">
        <v>13</v>
      </c>
      <c r="L3" s="10" t="s">
        <v>14</v>
      </c>
      <c r="M3" s="16" t="s">
        <v>15</v>
      </c>
      <c r="N3" s="7" t="s">
        <v>16</v>
      </c>
      <c r="O3" s="6" t="s">
        <v>17</v>
      </c>
    </row>
    <row r="4" spans="1:21">
      <c r="A4" s="2">
        <v>2015</v>
      </c>
      <c r="B4" s="19">
        <v>0.17</v>
      </c>
      <c r="C4" s="19">
        <v>7.1999999999999995E-2</v>
      </c>
      <c r="D4" s="19">
        <v>7.2999999999999995E-2</v>
      </c>
      <c r="E4" s="19">
        <v>0.127</v>
      </c>
      <c r="F4" s="19">
        <v>6.0999999999999999E-2</v>
      </c>
      <c r="G4" s="1"/>
      <c r="J4" s="8">
        <v>2015</v>
      </c>
      <c r="K4" s="3">
        <v>14491.91</v>
      </c>
      <c r="L4" s="3">
        <v>12767.22</v>
      </c>
      <c r="M4" s="13">
        <v>5216.41</v>
      </c>
      <c r="N4" s="13">
        <v>869.4</v>
      </c>
      <c r="O4" s="3">
        <v>7217.73</v>
      </c>
      <c r="Q4" t="s">
        <v>68</v>
      </c>
    </row>
    <row r="5" spans="1:21">
      <c r="A5" s="2">
        <v>2016</v>
      </c>
      <c r="B5" s="19">
        <v>0.17</v>
      </c>
      <c r="C5" s="19">
        <v>6.6000000000000003E-2</v>
      </c>
      <c r="D5" s="19">
        <v>6.5000000000000002E-2</v>
      </c>
      <c r="E5" s="19">
        <v>0.11799999999999999</v>
      </c>
      <c r="F5" s="19">
        <v>0.06</v>
      </c>
      <c r="G5" s="1"/>
      <c r="J5" s="8">
        <v>2016</v>
      </c>
      <c r="K5" s="4">
        <v>14817.46</v>
      </c>
      <c r="L5" s="4">
        <v>13720.36</v>
      </c>
      <c r="M5" s="13">
        <v>5460.11</v>
      </c>
      <c r="N5" s="13">
        <v>873.17</v>
      </c>
      <c r="O5" s="4">
        <v>8046.67</v>
      </c>
      <c r="Q5" t="s">
        <v>69</v>
      </c>
    </row>
    <row r="6" spans="1:21">
      <c r="A6" s="2">
        <v>2017</v>
      </c>
      <c r="B6" s="19">
        <v>0.17299999999999999</v>
      </c>
      <c r="C6" s="19">
        <v>6.7000000000000004E-2</v>
      </c>
      <c r="D6" s="19">
        <v>7.5999999999999998E-2</v>
      </c>
      <c r="E6" s="19">
        <v>0.13200000000000001</v>
      </c>
      <c r="F6" s="19">
        <v>0.06</v>
      </c>
      <c r="G6" s="1"/>
      <c r="J6" s="8">
        <v>2017</v>
      </c>
      <c r="K6" s="3">
        <v>14354.54</v>
      </c>
      <c r="L6" s="3">
        <v>13196.27</v>
      </c>
      <c r="M6" s="13">
        <v>5217.3500000000004</v>
      </c>
      <c r="N6" s="13">
        <v>847.76</v>
      </c>
      <c r="O6" s="3">
        <v>7529.17</v>
      </c>
      <c r="Q6" t="s">
        <v>70</v>
      </c>
    </row>
    <row r="7" spans="1:21">
      <c r="A7" s="2">
        <v>2018</v>
      </c>
      <c r="B7" s="19">
        <v>0.17699999999999999</v>
      </c>
      <c r="C7" s="19">
        <v>7.0999999999999994E-2</v>
      </c>
      <c r="D7" s="19">
        <v>9.2999999999999999E-2</v>
      </c>
      <c r="E7" s="19">
        <v>0.14299999999999999</v>
      </c>
      <c r="F7" s="19">
        <v>6.0999999999999999E-2</v>
      </c>
      <c r="G7" s="1"/>
      <c r="J7" s="8">
        <v>2018</v>
      </c>
      <c r="K7" s="4">
        <v>14081.67</v>
      </c>
      <c r="L7" s="4">
        <v>12733.35</v>
      </c>
      <c r="M7" s="13">
        <v>4788.3</v>
      </c>
      <c r="N7" s="13">
        <v>824.24</v>
      </c>
      <c r="O7" s="4">
        <v>7173.5</v>
      </c>
    </row>
    <row r="8" spans="1:21">
      <c r="A8" s="2">
        <v>2019</v>
      </c>
      <c r="B8" s="19">
        <v>0.185</v>
      </c>
      <c r="C8" s="19">
        <v>7.9000000000000001E-2</v>
      </c>
      <c r="D8" s="19">
        <v>9.5000000000000001E-2</v>
      </c>
      <c r="E8" s="19">
        <v>0.14199999999999999</v>
      </c>
      <c r="F8" s="19">
        <v>6.4000000000000001E-2</v>
      </c>
      <c r="G8" s="1"/>
      <c r="J8" s="8">
        <v>2019</v>
      </c>
      <c r="K8" s="3">
        <v>13970.64</v>
      </c>
      <c r="L8" s="3">
        <v>12485.89</v>
      </c>
      <c r="M8" s="13">
        <v>4617.99</v>
      </c>
      <c r="N8" s="13">
        <v>801.66</v>
      </c>
      <c r="O8" s="3">
        <v>7118.93</v>
      </c>
      <c r="Q8" s="14" t="s">
        <v>71</v>
      </c>
      <c r="R8" s="14"/>
      <c r="S8" s="14"/>
      <c r="T8" s="14"/>
      <c r="U8" s="14"/>
    </row>
    <row r="9" spans="1:21">
      <c r="A9" s="2">
        <v>2020</v>
      </c>
      <c r="B9" s="19">
        <v>0.19400000000000001</v>
      </c>
      <c r="C9" s="19">
        <v>7.2999999999999995E-2</v>
      </c>
      <c r="D9" s="19">
        <v>7.8E-2</v>
      </c>
      <c r="E9" s="19">
        <v>0.14499999999999999</v>
      </c>
      <c r="F9" s="19">
        <v>6.5000000000000002E-2</v>
      </c>
      <c r="G9" s="1"/>
      <c r="J9" s="8">
        <v>2020</v>
      </c>
      <c r="K9" s="4">
        <v>14076.97</v>
      </c>
      <c r="L9" s="4">
        <v>12204.55</v>
      </c>
      <c r="M9" s="13">
        <v>4235.9799999999996</v>
      </c>
      <c r="N9" s="13">
        <v>763.08</v>
      </c>
      <c r="O9" s="4">
        <v>6571.32</v>
      </c>
    </row>
    <row r="10" spans="1:21">
      <c r="A10" s="2">
        <v>2021</v>
      </c>
      <c r="B10" s="19">
        <v>0.19800000000000001</v>
      </c>
      <c r="C10" s="19">
        <v>7.3999999999999996E-2</v>
      </c>
      <c r="D10" s="19">
        <v>9.0999999999999998E-2</v>
      </c>
      <c r="E10" s="19">
        <v>0.14899999999999999</v>
      </c>
      <c r="F10" s="19">
        <v>6.7000000000000004E-2</v>
      </c>
      <c r="G10" s="1"/>
      <c r="J10" s="8">
        <v>2021</v>
      </c>
      <c r="K10" s="3">
        <v>14553.07</v>
      </c>
      <c r="L10" s="3">
        <v>12789.8</v>
      </c>
      <c r="M10" s="13">
        <v>4413.8100000000004</v>
      </c>
      <c r="N10" s="13">
        <v>779.07</v>
      </c>
      <c r="O10" s="3">
        <v>7502.82</v>
      </c>
    </row>
    <row r="11" spans="1:21">
      <c r="A11" s="2">
        <v>2022</v>
      </c>
      <c r="B11" s="19">
        <v>0.215</v>
      </c>
      <c r="C11" s="19">
        <v>9.2999999999999999E-2</v>
      </c>
      <c r="D11" s="19">
        <v>0.14899999999999999</v>
      </c>
      <c r="E11" s="19">
        <v>0.16</v>
      </c>
      <c r="F11" s="19">
        <v>0.107</v>
      </c>
      <c r="G11" s="1"/>
      <c r="J11" s="8">
        <v>2022</v>
      </c>
      <c r="K11" s="4">
        <v>13319.53</v>
      </c>
      <c r="L11" s="4">
        <v>10402.709999999999</v>
      </c>
      <c r="M11" s="13">
        <v>3211.33</v>
      </c>
      <c r="N11" s="13">
        <v>688.75</v>
      </c>
      <c r="O11" s="4">
        <v>6301.28</v>
      </c>
    </row>
    <row r="12" spans="1:21">
      <c r="A12" s="2">
        <v>2023</v>
      </c>
      <c r="B12" s="19">
        <v>0.245</v>
      </c>
      <c r="C12" s="19">
        <v>0.111</v>
      </c>
      <c r="D12" s="19">
        <v>0.129</v>
      </c>
      <c r="E12" s="19">
        <v>0.16600000000000001</v>
      </c>
      <c r="F12" s="19">
        <v>0.106</v>
      </c>
      <c r="G12" s="1"/>
      <c r="J12" s="8">
        <v>2023</v>
      </c>
      <c r="K12" s="3">
        <v>12795.45</v>
      </c>
      <c r="L12" s="89">
        <v>9316.9</v>
      </c>
      <c r="M12" s="13">
        <v>2875.42</v>
      </c>
      <c r="N12" s="13">
        <v>657.7</v>
      </c>
      <c r="O12" s="3">
        <v>6415.13</v>
      </c>
    </row>
    <row r="13" spans="1:21">
      <c r="A13" s="2">
        <v>2024</v>
      </c>
      <c r="B13" s="19">
        <v>0.252</v>
      </c>
      <c r="C13" s="19">
        <v>0.126</v>
      </c>
      <c r="D13" s="19">
        <v>0.123</v>
      </c>
      <c r="E13" s="19">
        <v>0.17199999999999999</v>
      </c>
      <c r="F13" s="19">
        <v>7.9000000000000001E-2</v>
      </c>
      <c r="G13" s="1"/>
      <c r="J13" s="8">
        <v>2024</v>
      </c>
      <c r="K13" s="90">
        <f>0.7%*K12+K12</f>
        <v>12885.01815</v>
      </c>
      <c r="L13" s="4">
        <v>9973.65</v>
      </c>
      <c r="M13" s="88">
        <f>(42.03*1000)/10.628</f>
        <v>3954.6480993601808</v>
      </c>
      <c r="N13" s="88">
        <f>0.3%*N12+N12</f>
        <v>659.67310000000009</v>
      </c>
      <c r="O13" s="4">
        <v>6586.38</v>
      </c>
    </row>
    <row r="16" spans="1:21">
      <c r="A16" s="17" t="s">
        <v>9</v>
      </c>
      <c r="B16" s="14" t="s">
        <v>18</v>
      </c>
      <c r="C16" s="1"/>
      <c r="D16" s="1"/>
      <c r="E16" s="1"/>
      <c r="F16" s="1"/>
      <c r="G16" s="1"/>
      <c r="H16" s="1"/>
      <c r="I16" s="1"/>
      <c r="J16" s="17" t="s">
        <v>9</v>
      </c>
      <c r="K16" s="14" t="s">
        <v>19</v>
      </c>
      <c r="L16" s="1"/>
      <c r="M16" s="1"/>
    </row>
    <row r="17" spans="1:21">
      <c r="A17" s="1"/>
      <c r="B17" s="14" t="s">
        <v>20</v>
      </c>
      <c r="C17" s="1"/>
      <c r="D17" s="1"/>
      <c r="E17" s="1"/>
      <c r="F17" s="1"/>
      <c r="G17" s="1"/>
      <c r="H17" s="1"/>
      <c r="I17" s="1"/>
      <c r="J17" s="1"/>
      <c r="K17" s="14" t="s">
        <v>21</v>
      </c>
      <c r="L17" s="1"/>
      <c r="M17" s="1"/>
      <c r="N17" s="1"/>
    </row>
    <row r="18" spans="1:21">
      <c r="B18" s="14" t="s">
        <v>90</v>
      </c>
      <c r="K18" s="14" t="s">
        <v>22</v>
      </c>
    </row>
    <row r="19" spans="1:21">
      <c r="K19" s="14" t="s">
        <v>10</v>
      </c>
    </row>
    <row r="20" spans="1:21">
      <c r="K20" s="14" t="s">
        <v>23</v>
      </c>
    </row>
    <row r="21" spans="1:21">
      <c r="K21" s="14" t="s">
        <v>24</v>
      </c>
    </row>
    <row r="22" spans="1:21">
      <c r="K22" s="14" t="s">
        <v>152</v>
      </c>
    </row>
    <row r="25" spans="1:21" ht="20.25" thickBot="1">
      <c r="A25" s="148" t="s">
        <v>89</v>
      </c>
      <c r="B25" s="148"/>
      <c r="C25" s="148"/>
      <c r="D25" s="148"/>
      <c r="E25" s="148"/>
      <c r="F25" s="148"/>
      <c r="K25" s="147" t="s">
        <v>25</v>
      </c>
      <c r="L25" s="147"/>
      <c r="M25" s="147"/>
      <c r="N25" s="147"/>
      <c r="O25" s="147"/>
      <c r="P25" s="147"/>
    </row>
    <row r="26" spans="1:21" ht="15.75" thickTop="1">
      <c r="A26" s="1"/>
      <c r="B26" s="1"/>
      <c r="C26" s="1"/>
      <c r="D26" s="1"/>
      <c r="E26" s="1"/>
      <c r="K26" s="1"/>
      <c r="L26" s="1"/>
      <c r="M26" s="1"/>
      <c r="N26" s="1"/>
      <c r="O26" s="1"/>
      <c r="P26" s="1"/>
    </row>
    <row r="27" spans="1:21">
      <c r="A27" s="2" t="s">
        <v>12</v>
      </c>
      <c r="B27" s="18" t="s">
        <v>1</v>
      </c>
      <c r="C27" s="1" t="s">
        <v>6</v>
      </c>
      <c r="D27" s="1" t="s">
        <v>3</v>
      </c>
      <c r="E27" s="1" t="s">
        <v>7</v>
      </c>
      <c r="F27" s="1" t="s">
        <v>5</v>
      </c>
      <c r="K27" s="2" t="s">
        <v>0</v>
      </c>
      <c r="L27" s="1" t="s">
        <v>1</v>
      </c>
      <c r="M27" s="1" t="s">
        <v>2</v>
      </c>
      <c r="N27" s="1" t="s">
        <v>5</v>
      </c>
      <c r="O27" s="2" t="s">
        <v>4</v>
      </c>
      <c r="P27" s="2" t="s">
        <v>3</v>
      </c>
    </row>
    <row r="28" spans="1:21">
      <c r="A28" s="2">
        <v>2015</v>
      </c>
      <c r="B28" s="20">
        <f t="shared" ref="B28:B37" si="0">B4*K4</f>
        <v>2463.6247000000003</v>
      </c>
      <c r="C28" s="20">
        <f t="shared" ref="C28:C37" si="1">C4*L4</f>
        <v>919.23983999999984</v>
      </c>
      <c r="D28" s="20">
        <f t="shared" ref="D28:D37" si="2">D4*M4</f>
        <v>380.79792999999995</v>
      </c>
      <c r="E28" s="20">
        <f t="shared" ref="E28:E37" si="3">E4*N4</f>
        <v>110.41379999999999</v>
      </c>
      <c r="F28" s="20">
        <f t="shared" ref="F28:F37" si="4">F4*O4</f>
        <v>440.28152999999998</v>
      </c>
      <c r="K28" s="2">
        <v>2015</v>
      </c>
      <c r="L28" s="20">
        <f>(I35+Tableau2[[#This Row],[Electricité]])*K4</f>
        <v>38088575.488577001</v>
      </c>
      <c r="M28" s="20">
        <f xml:space="preserve"> (Tableau2[[#This Row],[Gaz naturel]]+R36)*L4</f>
        <v>13196196.549244797</v>
      </c>
      <c r="N28" s="20">
        <f>(R31+S31+U31+Tableau2[[#This Row],[Bois]])*O4</f>
        <v>5148273.4975268999</v>
      </c>
      <c r="O28" s="20">
        <f>N4*1000</f>
        <v>869400</v>
      </c>
      <c r="P28" s="20">
        <f>1000*M4</f>
        <v>5216410</v>
      </c>
    </row>
    <row r="29" spans="1:21">
      <c r="A29" s="2">
        <v>2016</v>
      </c>
      <c r="B29" s="20">
        <f t="shared" si="0"/>
        <v>2518.9682000000003</v>
      </c>
      <c r="C29" s="20">
        <f t="shared" si="1"/>
        <v>905.54376000000013</v>
      </c>
      <c r="D29" s="20">
        <f t="shared" si="2"/>
        <v>354.90715</v>
      </c>
      <c r="E29" s="20">
        <f t="shared" si="3"/>
        <v>103.03406</v>
      </c>
      <c r="F29" s="20">
        <f t="shared" si="4"/>
        <v>482.80019999999996</v>
      </c>
      <c r="K29" s="2">
        <v>2016</v>
      </c>
      <c r="L29" s="20">
        <f>(I35+Tableau2[[#This Row],[Electricité]])*K5</f>
        <v>39764257.159171999</v>
      </c>
      <c r="M29" s="20">
        <f>(Tableau2[[#This Row],[Gaz naturel]]+R36)*L5</f>
        <v>13993446.752553603</v>
      </c>
      <c r="N29" s="20">
        <f>(R31+S31+U31+Tableau2[[#This Row],[Bois]])*O5</f>
        <v>6081674.7953339992</v>
      </c>
      <c r="O29" s="20">
        <f>N5*947.1</f>
        <v>826979.30700000003</v>
      </c>
      <c r="P29" s="20">
        <f>1020.8*M5</f>
        <v>5573680.2879999997</v>
      </c>
    </row>
    <row r="30" spans="1:21">
      <c r="A30" s="2">
        <v>2017</v>
      </c>
      <c r="B30" s="20">
        <f t="shared" si="0"/>
        <v>2483.3354199999999</v>
      </c>
      <c r="C30" s="20">
        <f t="shared" si="1"/>
        <v>884.15009000000009</v>
      </c>
      <c r="D30" s="20">
        <f t="shared" si="2"/>
        <v>396.51859999999999</v>
      </c>
      <c r="E30" s="20">
        <f t="shared" si="3"/>
        <v>111.90432</v>
      </c>
      <c r="F30" s="20">
        <f t="shared" si="4"/>
        <v>451.75020000000001</v>
      </c>
      <c r="K30" s="2">
        <v>2017</v>
      </c>
      <c r="L30" s="20">
        <f>(I35+Tableau2[[#This Row],[Electricité]])*K6</f>
        <v>38010469.085406795</v>
      </c>
      <c r="M30" s="20">
        <f>(Tableau2[[#This Row],[Gaz naturel]]+R36)*L6</f>
        <v>13176608.745364301</v>
      </c>
      <c r="N30" s="20">
        <f>(R31+S31+U31+Tableau2[[#This Row],[Bois]])*O6</f>
        <v>5456767.4633339997</v>
      </c>
      <c r="O30" s="20">
        <f>104.49*N6</f>
        <v>88582.4424</v>
      </c>
      <c r="P30" s="20">
        <f>1194.6*M6</f>
        <v>6232646.3099999996</v>
      </c>
      <c r="R30" s="33" t="s">
        <v>105</v>
      </c>
      <c r="S30" s="149" t="s">
        <v>106</v>
      </c>
      <c r="T30" s="149"/>
      <c r="U30" s="33" t="s">
        <v>107</v>
      </c>
    </row>
    <row r="31" spans="1:21">
      <c r="A31" s="2">
        <v>2018</v>
      </c>
      <c r="B31" s="20">
        <f t="shared" si="0"/>
        <v>2492.45559</v>
      </c>
      <c r="C31" s="20">
        <f t="shared" si="1"/>
        <v>904.06784999999991</v>
      </c>
      <c r="D31" s="20">
        <f t="shared" si="2"/>
        <v>445.31190000000004</v>
      </c>
      <c r="E31" s="20">
        <f t="shared" si="3"/>
        <v>117.86631999999999</v>
      </c>
      <c r="F31" s="20">
        <f t="shared" si="4"/>
        <v>437.58350000000002</v>
      </c>
      <c r="K31" s="2">
        <v>2018</v>
      </c>
      <c r="L31" s="20">
        <f>(I35+Tableau2[[#This Row],[Electricité]])*K7</f>
        <v>37416343.256835297</v>
      </c>
      <c r="M31" s="20">
        <f>(R36+Tableau2[[#This Row],[Gaz naturel]])*L7</f>
        <v>12967998.263797499</v>
      </c>
      <c r="N31" s="20">
        <f>(R31+S31+U31+Tableau2[[#This Row],[Bois]])*O7</f>
        <v>5097370.7372499993</v>
      </c>
      <c r="O31" s="20">
        <f>N7*1200.2</f>
        <v>989252.848</v>
      </c>
      <c r="P31" s="20">
        <f>1458.2*M7</f>
        <v>6982299.0600000005</v>
      </c>
      <c r="R31" s="33">
        <v>93</v>
      </c>
      <c r="S31" s="149">
        <v>85</v>
      </c>
      <c r="T31" s="149"/>
      <c r="U31" s="33">
        <v>95</v>
      </c>
    </row>
    <row r="32" spans="1:21">
      <c r="A32" s="2">
        <v>2019</v>
      </c>
      <c r="B32" s="20">
        <f t="shared" si="0"/>
        <v>2584.5683999999997</v>
      </c>
      <c r="C32" s="20">
        <f t="shared" si="1"/>
        <v>986.38531</v>
      </c>
      <c r="D32" s="20">
        <f t="shared" si="2"/>
        <v>438.70904999999999</v>
      </c>
      <c r="E32" s="20">
        <f t="shared" si="3"/>
        <v>113.83571999999998</v>
      </c>
      <c r="F32" s="20">
        <f t="shared" si="4"/>
        <v>455.61152000000004</v>
      </c>
      <c r="K32" s="2">
        <v>2019</v>
      </c>
      <c r="L32" s="20">
        <f>(I35+Tableau2[[#This Row],[Electricité]])*K8</f>
        <v>38408200.841375992</v>
      </c>
      <c r="M32" s="20">
        <f>(R36+Tableau2[[#This Row],[Gaz naturel]])*L8</f>
        <v>13743784.858675899</v>
      </c>
      <c r="N32" s="20">
        <f>(R31+S31+U31+Tableau2[[#This Row],[Bois]])*O8</f>
        <v>5186934.4080736004</v>
      </c>
      <c r="O32" s="20">
        <f>N8*1208.4</f>
        <v>968725.94400000002</v>
      </c>
      <c r="P32" s="20">
        <f>1482*M8</f>
        <v>6843861.1799999997</v>
      </c>
    </row>
    <row r="33" spans="1:19">
      <c r="A33" s="2">
        <v>2020</v>
      </c>
      <c r="B33" s="20">
        <f t="shared" si="0"/>
        <v>2730.9321799999998</v>
      </c>
      <c r="C33" s="20">
        <f t="shared" si="1"/>
        <v>890.93214999999987</v>
      </c>
      <c r="D33" s="20">
        <f t="shared" si="2"/>
        <v>330.40643999999998</v>
      </c>
      <c r="E33" s="20">
        <f t="shared" si="3"/>
        <v>110.64659999999999</v>
      </c>
      <c r="F33" s="20">
        <f t="shared" si="4"/>
        <v>427.13580000000002</v>
      </c>
      <c r="K33" s="2">
        <v>2020</v>
      </c>
      <c r="L33" s="20">
        <f>(I35+Tableau2[[#This Row],[Electricité]])*K9</f>
        <v>40760882.710694596</v>
      </c>
      <c r="M33" s="20">
        <f>(R36+Tableau2[[#This Row],[Gaz naturel]])*L9</f>
        <v>12269138.309282498</v>
      </c>
      <c r="N33" s="20">
        <f>(R31+S31+U31+F33)*O9</f>
        <v>4600816.3852559999</v>
      </c>
      <c r="O33" s="20">
        <f>1064.8*N9</f>
        <v>812527.58400000003</v>
      </c>
      <c r="P33" s="20">
        <f>1214.4*M9</f>
        <v>5144174.1119999997</v>
      </c>
    </row>
    <row r="34" spans="1:19">
      <c r="A34" s="2">
        <v>2021</v>
      </c>
      <c r="B34" s="20">
        <f t="shared" si="0"/>
        <v>2881.5078600000002</v>
      </c>
      <c r="C34" s="20">
        <f t="shared" si="1"/>
        <v>946.44519999999989</v>
      </c>
      <c r="D34" s="20">
        <f t="shared" si="2"/>
        <v>401.65671000000003</v>
      </c>
      <c r="E34" s="20">
        <f t="shared" si="3"/>
        <v>116.08143</v>
      </c>
      <c r="F34" s="20">
        <f t="shared" si="4"/>
        <v>502.68894</v>
      </c>
      <c r="I34" s="34" t="s">
        <v>110</v>
      </c>
      <c r="K34" s="2">
        <v>2021</v>
      </c>
      <c r="L34" s="20">
        <f>(Tableau2[[#This Row],[Electricité]]+I35)*K10</f>
        <v>44330803.036930196</v>
      </c>
      <c r="M34" s="20">
        <f>(R36+Tableau2[[#This Row],[Gaz naturel]])*L10</f>
        <v>13567486.346959997</v>
      </c>
      <c r="N34" s="20">
        <f>(R31+S31+U31+F34)*O10</f>
        <v>5819854.4928107997</v>
      </c>
      <c r="O34" s="20">
        <f>N10*1207.6</f>
        <v>940804.93200000003</v>
      </c>
      <c r="P34" s="20">
        <f>1438.2*M10</f>
        <v>6347941.5420000004</v>
      </c>
    </row>
    <row r="35" spans="1:19" ht="18">
      <c r="A35" s="2">
        <v>2022</v>
      </c>
      <c r="B35" s="20">
        <f t="shared" si="0"/>
        <v>2863.69895</v>
      </c>
      <c r="C35" s="20">
        <f t="shared" si="1"/>
        <v>967.45202999999992</v>
      </c>
      <c r="D35" s="20">
        <f t="shared" si="2"/>
        <v>478.48816999999997</v>
      </c>
      <c r="E35" s="20">
        <f t="shared" si="3"/>
        <v>110.2</v>
      </c>
      <c r="F35" s="20">
        <f t="shared" si="4"/>
        <v>674.23695999999995</v>
      </c>
      <c r="I35" s="32">
        <v>164.64</v>
      </c>
      <c r="K35" s="2">
        <v>2022</v>
      </c>
      <c r="L35" s="20">
        <f>(I35+Tableau2[[#This Row],[Electricité]])*K11</f>
        <v>40336051.494693503</v>
      </c>
      <c r="M35" s="20">
        <f>(R36+Tableau2[[#This Row],[Gaz naturel]])*L11</f>
        <v>11253776.822601298</v>
      </c>
      <c r="N35" s="20">
        <f>(R31+S31+U31+F35)*O11</f>
        <v>5968805.3113087993</v>
      </c>
      <c r="O35" s="20">
        <f>1560.7*N11</f>
        <v>1074932.125</v>
      </c>
      <c r="P35" s="20">
        <f>2391.7*M11</f>
        <v>7680537.9609999992</v>
      </c>
      <c r="R35" s="151" t="s">
        <v>109</v>
      </c>
      <c r="S35" s="151"/>
    </row>
    <row r="36" spans="1:19">
      <c r="A36" s="2">
        <v>2023</v>
      </c>
      <c r="B36" s="20">
        <f t="shared" si="0"/>
        <v>3134.8852500000003</v>
      </c>
      <c r="C36" s="20">
        <f t="shared" si="1"/>
        <v>1034.1759</v>
      </c>
      <c r="D36" s="20">
        <f t="shared" si="2"/>
        <v>370.92918000000003</v>
      </c>
      <c r="E36" s="20">
        <f t="shared" si="3"/>
        <v>109.17820000000002</v>
      </c>
      <c r="F36" s="20">
        <f t="shared" si="4"/>
        <v>680.00378000000001</v>
      </c>
      <c r="K36" s="2">
        <v>2023</v>
      </c>
      <c r="L36" s="20">
        <f>(I35+Tableau2[[#This Row],[Electricité]])*K12</f>
        <v>42218910.360112503</v>
      </c>
      <c r="M36" s="20">
        <f>(R36+Tableau2[[#This Row],[Gaz naturel]])*L12</f>
        <v>10700794.126709998</v>
      </c>
      <c r="N36" s="20">
        <f>(R31+S31+U31+Tableau2[[#This Row],[Bois]])*O12</f>
        <v>6113643.1391914003</v>
      </c>
      <c r="O36" s="20">
        <f>1533.6*N12</f>
        <v>1008648.72</v>
      </c>
      <c r="P36" s="20">
        <f>2060.8*M12</f>
        <v>5925665.5360000003</v>
      </c>
      <c r="R36" s="150">
        <v>114.36</v>
      </c>
      <c r="S36" s="150"/>
    </row>
    <row r="37" spans="1:19">
      <c r="A37" s="2">
        <v>2024</v>
      </c>
      <c r="B37" s="20">
        <f t="shared" si="0"/>
        <v>3247.0245737999999</v>
      </c>
      <c r="C37" s="20">
        <f t="shared" si="1"/>
        <v>1256.6798999999999</v>
      </c>
      <c r="D37" s="20">
        <f t="shared" si="2"/>
        <v>486.42171622130223</v>
      </c>
      <c r="E37" s="20">
        <f t="shared" si="3"/>
        <v>113.46377320000001</v>
      </c>
      <c r="F37" s="20">
        <f t="shared" si="4"/>
        <v>520.32402000000002</v>
      </c>
      <c r="K37" s="2">
        <v>2024</v>
      </c>
      <c r="L37" s="20">
        <f>(I35+Tableau2[[#This Row],[Electricité]])*K13</f>
        <v>43959359.955125012</v>
      </c>
      <c r="M37" s="20">
        <f>(R36+Tableau2[[#This Row],[Gaz naturel]])*L13</f>
        <v>13674272.098634997</v>
      </c>
      <c r="N37" s="20">
        <f>(R31+S31+U31+Tableau2[[#This Row],[Bois]])*O13</f>
        <v>5225133.4588476</v>
      </c>
      <c r="O37" s="2">
        <f>N13*1459.1</f>
        <v>962529.0202100001</v>
      </c>
      <c r="P37" s="2">
        <f>1946.8*M13</f>
        <v>7698908.9198343996</v>
      </c>
    </row>
    <row r="40" spans="1:19" ht="19.5">
      <c r="K40" s="147" t="s">
        <v>120</v>
      </c>
      <c r="L40" s="147"/>
      <c r="M40" s="147"/>
      <c r="N40" s="147"/>
      <c r="O40" s="147"/>
      <c r="P40" s="147"/>
    </row>
    <row r="42" spans="1:19" ht="20.25">
      <c r="A42" s="147" t="s">
        <v>111</v>
      </c>
      <c r="B42" s="147"/>
      <c r="C42" s="147"/>
      <c r="D42" s="147"/>
      <c r="E42" s="147"/>
      <c r="F42" s="147"/>
      <c r="H42" s="152" t="s">
        <v>112</v>
      </c>
      <c r="I42" s="152"/>
      <c r="K42" s="40" t="s">
        <v>0</v>
      </c>
      <c r="L42" s="41" t="s">
        <v>1</v>
      </c>
      <c r="M42" s="41" t="s">
        <v>2</v>
      </c>
      <c r="N42" s="41" t="s">
        <v>5</v>
      </c>
      <c r="O42" s="40" t="s">
        <v>4</v>
      </c>
      <c r="P42" s="102" t="s">
        <v>3</v>
      </c>
    </row>
    <row r="43" spans="1:19">
      <c r="A43" s="1"/>
      <c r="B43" s="1"/>
      <c r="C43" s="1"/>
      <c r="D43" s="1"/>
      <c r="E43" s="1"/>
      <c r="F43" s="1"/>
      <c r="H43" s="145">
        <v>3.4000000000000002E-2</v>
      </c>
      <c r="I43" s="146"/>
      <c r="K43" s="39">
        <v>2015</v>
      </c>
      <c r="L43" s="37">
        <f>NPV(H43,B45,Table19[[Années ]])</f>
        <v>36850086.964203671</v>
      </c>
      <c r="M43" s="37">
        <f>NPV(H43,C45,Table19[[Années ]])</f>
        <v>12777713.120420102</v>
      </c>
      <c r="N43" s="37">
        <f>NPV(H43,D45,Table19[[Années ]])</f>
        <v>4994885.1770855784</v>
      </c>
      <c r="O43" s="37">
        <f>NPV(H43,E45,Table19[[Années ]])</f>
        <v>857028.6685779395</v>
      </c>
      <c r="P43" s="37">
        <f>NPV(H43,F45,Table19[[Années ]])</f>
        <v>5060838.7419531802</v>
      </c>
      <c r="Q43">
        <f>F45/(1+3.4%)^20</f>
        <v>2672570.922471893</v>
      </c>
    </row>
    <row r="44" spans="1:19">
      <c r="A44" s="2" t="s">
        <v>0</v>
      </c>
      <c r="B44" s="1" t="s">
        <v>1</v>
      </c>
      <c r="C44" s="1" t="s">
        <v>2</v>
      </c>
      <c r="D44" s="1" t="s">
        <v>5</v>
      </c>
      <c r="E44" s="2" t="s">
        <v>4</v>
      </c>
      <c r="F44" s="2" t="s">
        <v>3</v>
      </c>
      <c r="K44" s="9">
        <v>2016</v>
      </c>
      <c r="L44" s="38">
        <f>NPV(H43,B46,Table19[[Années ]])</f>
        <v>38470615.326964788</v>
      </c>
      <c r="M44" s="38">
        <f>NPV(H43,C46,Table19[[Années ]])</f>
        <v>13548761.379016628</v>
      </c>
      <c r="N44" s="38">
        <f>NPV(H43,D46,Table19[[Années ]])</f>
        <v>5897553.2420150749</v>
      </c>
      <c r="O44" s="37">
        <f>NPV(H43,E46,Table19[[Années ]])</f>
        <v>816009.99037677899</v>
      </c>
      <c r="P44" s="37">
        <f>NPV(H43,F46,Table19[[Années ]])</f>
        <v>5406386.3036359651</v>
      </c>
    </row>
    <row r="45" spans="1:19">
      <c r="A45" s="2">
        <v>2015</v>
      </c>
      <c r="B45" s="20">
        <f>L28-B28</f>
        <v>38086111.863876998</v>
      </c>
      <c r="C45" s="20">
        <f t="shared" ref="C45:C54" si="5">M28-C28</f>
        <v>13195277.309404796</v>
      </c>
      <c r="D45" s="20">
        <f t="shared" ref="D45:D54" si="6">N28-F28</f>
        <v>5147833.2159968996</v>
      </c>
      <c r="E45" s="20">
        <f t="shared" ref="E45:E54" si="7">O28-E28</f>
        <v>869289.58620000002</v>
      </c>
      <c r="F45" s="20">
        <f>P28-D28</f>
        <v>5216029.2020699997</v>
      </c>
      <c r="K45" s="39">
        <v>2017</v>
      </c>
      <c r="L45" s="37">
        <f>NPV(H43,B47,Table19[[Années ]])</f>
        <v>36774529.794097088</v>
      </c>
      <c r="M45" s="37">
        <f>NPV(H43,C47,Table19[[Années ]])</f>
        <v>12758803.338862564</v>
      </c>
      <c r="N45" s="37">
        <f>NPV(H43,D47,Table19[[Années ]])</f>
        <v>5293224.1491717491</v>
      </c>
      <c r="O45" s="37">
        <f>NPV(H43,E47,Table19[[Années ]])</f>
        <v>101884.52145995108</v>
      </c>
      <c r="P45" s="37">
        <f>NPV(H43,F47,Table19[[Années ]])</f>
        <v>6043643.9540711688</v>
      </c>
    </row>
    <row r="46" spans="1:19">
      <c r="A46" s="2">
        <v>2016</v>
      </c>
      <c r="B46" s="20">
        <f t="shared" ref="B46:B53" si="8">L29-B29</f>
        <v>39761738.190972</v>
      </c>
      <c r="C46" s="20">
        <f t="shared" si="5"/>
        <v>13992541.208793603</v>
      </c>
      <c r="D46" s="20">
        <f t="shared" si="6"/>
        <v>6081191.9951339988</v>
      </c>
      <c r="E46" s="20">
        <f>O29-E29</f>
        <v>826876.27294000005</v>
      </c>
      <c r="F46" s="20">
        <f>P29-D29</f>
        <v>5573325.3808499994</v>
      </c>
      <c r="K46" s="9">
        <v>2018</v>
      </c>
      <c r="L46" s="38">
        <f>NPV(H43,B48,Table19[[Années ]])</f>
        <v>36199931.197635286</v>
      </c>
      <c r="M46" s="38">
        <f>NPV(H43,C48,Table19[[Années ]])</f>
        <v>12557033.12674767</v>
      </c>
      <c r="N46" s="38">
        <f>NPV(H43,D48,Table19[[Années ]])</f>
        <v>4945658.8112761974</v>
      </c>
      <c r="O46" s="37">
        <f>NPV(H43,E48,Table19[[Années ]])</f>
        <v>972933.30637291039</v>
      </c>
      <c r="P46" s="37">
        <f>NPV(H43,F48,Table19[[Années ]])</f>
        <v>6768599.4247674942</v>
      </c>
    </row>
    <row r="47" spans="1:19">
      <c r="A47" s="2">
        <v>2017</v>
      </c>
      <c r="B47" s="20">
        <f t="shared" si="8"/>
        <v>38007985.749986798</v>
      </c>
      <c r="C47" s="20">
        <f t="shared" si="5"/>
        <v>13175724.595274301</v>
      </c>
      <c r="D47" s="20">
        <f t="shared" si="6"/>
        <v>5456315.7131340001</v>
      </c>
      <c r="E47" s="20">
        <f>O30-E30</f>
        <v>88470.538079999998</v>
      </c>
      <c r="F47" s="20">
        <f>P30-D30</f>
        <v>6232249.7913999995</v>
      </c>
      <c r="K47" s="39">
        <v>2019</v>
      </c>
      <c r="L47" s="37">
        <f>NPV(H43,B49,Table19[[Années ]])</f>
        <v>37159085.425614685</v>
      </c>
      <c r="M47" s="37">
        <f>NPV(H43,C49,Table19[[Années ]])</f>
        <v>13307230.687113626</v>
      </c>
      <c r="N47" s="37">
        <f>NPV(H43,D49,Table19[[Années ]])</f>
        <v>5032260.0132139158</v>
      </c>
      <c r="O47" s="37">
        <f>NPV(H43,E49,Table19[[Années ]])</f>
        <v>953085.26633422577</v>
      </c>
      <c r="P47" s="37">
        <f>NPV(H43,F49,Table19[[Années ]])</f>
        <v>6634720.0464792922</v>
      </c>
    </row>
    <row r="48" spans="1:19">
      <c r="A48" s="2">
        <v>2018</v>
      </c>
      <c r="B48" s="20">
        <f t="shared" si="8"/>
        <v>37413850.801245295</v>
      </c>
      <c r="C48" s="20">
        <f t="shared" si="5"/>
        <v>12967094.1959475</v>
      </c>
      <c r="D48" s="20">
        <f t="shared" si="6"/>
        <v>5096933.1537499996</v>
      </c>
      <c r="E48" s="20">
        <f t="shared" si="7"/>
        <v>989134.98167999997</v>
      </c>
      <c r="F48" s="20">
        <f t="shared" ref="F48:F54" si="9">P31-D31</f>
        <v>6981853.7481000004</v>
      </c>
      <c r="K48" s="9">
        <v>2020</v>
      </c>
      <c r="L48" s="38">
        <f>NPV(H43,B50,Table19[[Années ]])</f>
        <v>39434264.831358016</v>
      </c>
      <c r="M48" s="38">
        <f>NPV(H43,C50,Table19[[Années ]])</f>
        <v>11881165.79713935</v>
      </c>
      <c r="N48" s="38">
        <f>NPV(H43,D50,Table19[[Années ]])</f>
        <v>4465442.2694057915</v>
      </c>
      <c r="O48" s="37">
        <f>NPV(H43,E50,Table19[[Années ]])</f>
        <v>802026.10687581194</v>
      </c>
      <c r="P48" s="37">
        <f>NPV(H43,F50,Table19[[Années ]])</f>
        <v>4991026.8497771649</v>
      </c>
    </row>
    <row r="49" spans="1:16">
      <c r="A49" s="2">
        <v>2019</v>
      </c>
      <c r="B49" s="20">
        <f t="shared" si="8"/>
        <v>38405616.272975989</v>
      </c>
      <c r="C49" s="20">
        <f t="shared" si="5"/>
        <v>13742798.473365899</v>
      </c>
      <c r="D49" s="20">
        <f t="shared" si="6"/>
        <v>5186478.7965536006</v>
      </c>
      <c r="E49" s="20">
        <f t="shared" si="7"/>
        <v>968612.10828000004</v>
      </c>
      <c r="F49" s="20">
        <f t="shared" si="9"/>
        <v>6843422.47095</v>
      </c>
      <c r="K49" s="39">
        <v>2021</v>
      </c>
      <c r="L49" s="37">
        <f>NPV(H43,B51,Table19[[Années ]])</f>
        <v>42886653.371547185</v>
      </c>
      <c r="M49" s="37">
        <f>NPV(H43,C51,Table19[[Années ]])</f>
        <v>13136767.851904823</v>
      </c>
      <c r="N49" s="37">
        <f>NPV(H43,D51,Table19[[Années ]])</f>
        <v>5644322.882959757</v>
      </c>
      <c r="O49" s="37">
        <f>NPV(H43,E51)</f>
        <v>909757.10886847193</v>
      </c>
      <c r="P49" s="37">
        <f>NPV(H43,F51,Table19[[Années ]])</f>
        <v>6155143.0777558889</v>
      </c>
    </row>
    <row r="50" spans="1:16">
      <c r="A50" s="2">
        <v>2020</v>
      </c>
      <c r="B50" s="20">
        <f t="shared" si="8"/>
        <v>40758151.778514594</v>
      </c>
      <c r="C50" s="20">
        <f t="shared" si="5"/>
        <v>12268247.377132498</v>
      </c>
      <c r="D50" s="20">
        <f t="shared" si="6"/>
        <v>4600389.2494559996</v>
      </c>
      <c r="E50" s="20">
        <f t="shared" si="7"/>
        <v>812416.93740000005</v>
      </c>
      <c r="F50" s="20">
        <f t="shared" si="9"/>
        <v>5143843.7055599997</v>
      </c>
      <c r="K50" s="9">
        <v>2022</v>
      </c>
      <c r="L50" s="38">
        <f>NPV(H43,B52,Table19[[Années ]])</f>
        <v>39023274.519200288</v>
      </c>
      <c r="M50" s="38">
        <f>NPV(H43,D52,Table19[[Années ]])</f>
        <v>5788209.9917392526</v>
      </c>
      <c r="N50" s="38">
        <f>NPV(H43,D52,Table19[[Années ]])</f>
        <v>5788209.9917392526</v>
      </c>
      <c r="O50" s="37">
        <f>NPV(H43,E52,Table19[[Années ]])</f>
        <v>1055802.6906282294</v>
      </c>
      <c r="P50" s="37">
        <f>NPV(H43,F52,Table19[[Années ]])</f>
        <v>7443846.7407539533</v>
      </c>
    </row>
    <row r="51" spans="1:16">
      <c r="A51" s="2">
        <v>2021</v>
      </c>
      <c r="B51" s="20">
        <f t="shared" si="8"/>
        <v>44327921.529070199</v>
      </c>
      <c r="C51" s="20">
        <f t="shared" si="5"/>
        <v>13566539.901759997</v>
      </c>
      <c r="D51" s="20">
        <f t="shared" si="6"/>
        <v>5819351.8038708</v>
      </c>
      <c r="E51" s="20">
        <f t="shared" si="7"/>
        <v>940688.85057000001</v>
      </c>
      <c r="F51" s="20">
        <f t="shared" si="9"/>
        <v>6347539.8852900006</v>
      </c>
      <c r="K51" s="39">
        <v>2023</v>
      </c>
      <c r="L51" s="37">
        <f>NPV(H43,B53,Table19[[Années ]])</f>
        <v>40843958.928406283</v>
      </c>
      <c r="M51" s="37">
        <f>NPV(H43,C53,Table19[[Années ]])</f>
        <v>10364253.392572137</v>
      </c>
      <c r="N51" s="37">
        <f>NPV(H43,D53,Table19[[Années ]])</f>
        <v>5928279.6832891572</v>
      </c>
      <c r="O51" s="37">
        <f>NPV(H43,E53,Table19[[Années ]])</f>
        <v>991699.80552184663</v>
      </c>
      <c r="P51" s="37">
        <f>NPV(H43,F53,Table19[[Années ]])</f>
        <v>5746782.0734328711</v>
      </c>
    </row>
    <row r="52" spans="1:16">
      <c r="A52" s="2">
        <v>2022</v>
      </c>
      <c r="B52" s="20">
        <f t="shared" si="8"/>
        <v>40333187.795743503</v>
      </c>
      <c r="C52" s="20">
        <f t="shared" si="5"/>
        <v>11252809.370571299</v>
      </c>
      <c r="D52" s="20">
        <f t="shared" si="6"/>
        <v>5968131.074348799</v>
      </c>
      <c r="E52" s="20">
        <f t="shared" si="7"/>
        <v>1074821.925</v>
      </c>
      <c r="F52" s="20">
        <f t="shared" si="9"/>
        <v>7680059.4728299994</v>
      </c>
      <c r="K52" s="9">
        <v>2024</v>
      </c>
      <c r="L52" s="38">
        <f>NPV(H43,B54,Table19[[Années ]])</f>
        <v>42527070.587679692</v>
      </c>
      <c r="M52" s="38">
        <f>NPV(H43,C54,Table19[[Années ]])</f>
        <v>13239742.239694959</v>
      </c>
      <c r="N52" s="38">
        <f>NPV(H43,D54,Table19[[Années ]])</f>
        <v>5069140.4177342253</v>
      </c>
      <c r="O52" s="37">
        <f>NPV(H43,E54,Table19[[Années ]])</f>
        <v>947092.46958064742</v>
      </c>
      <c r="P52" s="37">
        <f>NPV(H43,F54,Table19[[Années ]])</f>
        <v>7461605.9528314956</v>
      </c>
    </row>
    <row r="53" spans="1:16">
      <c r="A53" s="2">
        <v>2023</v>
      </c>
      <c r="B53" s="20">
        <f t="shared" si="8"/>
        <v>42215775.474862501</v>
      </c>
      <c r="C53" s="20">
        <f t="shared" si="5"/>
        <v>10699759.950809998</v>
      </c>
      <c r="D53" s="20">
        <f t="shared" si="6"/>
        <v>6112963.1354114003</v>
      </c>
      <c r="E53" s="20">
        <f t="shared" si="7"/>
        <v>1008539.5418</v>
      </c>
      <c r="F53" s="20">
        <f t="shared" si="9"/>
        <v>5925294.6068200003</v>
      </c>
    </row>
    <row r="54" spans="1:16">
      <c r="A54" s="2">
        <v>2024</v>
      </c>
      <c r="B54" s="20">
        <f>L37-B37</f>
        <v>43956112.930551209</v>
      </c>
      <c r="C54" s="20">
        <f t="shared" si="5"/>
        <v>13673015.418734998</v>
      </c>
      <c r="D54" s="20">
        <f t="shared" si="6"/>
        <v>5224613.1348275999</v>
      </c>
      <c r="E54" s="20">
        <f t="shared" si="7"/>
        <v>962415.55643680005</v>
      </c>
      <c r="F54" s="20">
        <f t="shared" si="9"/>
        <v>7698422.498118178</v>
      </c>
    </row>
    <row r="58" spans="1:16" ht="23.25">
      <c r="K58" s="35" t="s">
        <v>116</v>
      </c>
      <c r="L58" s="35" t="s">
        <v>153</v>
      </c>
      <c r="M58" s="35" t="s">
        <v>117</v>
      </c>
    </row>
    <row r="59" spans="1:16" ht="23.25">
      <c r="K59" s="35" t="s">
        <v>1</v>
      </c>
      <c r="L59" s="43">
        <f>AVERAGE(Table19[Electricité])</f>
        <v>39016947.094670698</v>
      </c>
      <c r="M59" s="42">
        <f>_xlfn.STDEV.P(Table19[Electricité])</f>
        <v>2285107.9864321011</v>
      </c>
    </row>
    <row r="60" spans="1:16" ht="23.25">
      <c r="K60" s="35" t="s">
        <v>118</v>
      </c>
      <c r="L60" s="43">
        <f>AVERAGE(Table19[Gaz natuel])</f>
        <v>11935968.092521111</v>
      </c>
      <c r="M60" s="42">
        <f>_xlfn.STDEV.P(Table19[Gaz natuel])</f>
        <v>2228513.961005535</v>
      </c>
    </row>
    <row r="61" spans="1:16" ht="23.25">
      <c r="K61" s="35" t="s">
        <v>119</v>
      </c>
      <c r="L61" s="43">
        <f>AVERAGE(Table19[Bois])</f>
        <v>5305897.6637890693</v>
      </c>
      <c r="M61" s="42">
        <f>_xlfn.STDEV.P(Table19[Bois])</f>
        <v>463522.46495117794</v>
      </c>
    </row>
    <row r="62" spans="1:16" ht="23.25">
      <c r="K62" s="35" t="s">
        <v>34</v>
      </c>
      <c r="L62" s="36">
        <f>AVERAGE(Table19[[Petrole ]])</f>
        <v>840731.9934596814</v>
      </c>
      <c r="M62" s="42">
        <f>_xlfn.STDEV.P(Table19[[Petrole ]])</f>
        <v>257583.89684758143</v>
      </c>
    </row>
    <row r="63" spans="1:16" ht="23.25">
      <c r="K63" s="35" t="s">
        <v>3</v>
      </c>
      <c r="L63" s="36">
        <f>AVERAGE(Table19[Fioul domestique])</f>
        <v>6171259.3165458469</v>
      </c>
      <c r="M63" s="42">
        <f>_xlfn.STDEV.P(Table19[Fioul domestique])</f>
        <v>852280.69583275204</v>
      </c>
    </row>
  </sheetData>
  <mergeCells count="11">
    <mergeCell ref="S31:T31"/>
    <mergeCell ref="S30:T30"/>
    <mergeCell ref="R36:S36"/>
    <mergeCell ref="R35:S35"/>
    <mergeCell ref="H42:I42"/>
    <mergeCell ref="H43:I43"/>
    <mergeCell ref="K40:P40"/>
    <mergeCell ref="A1:F1"/>
    <mergeCell ref="A25:F25"/>
    <mergeCell ref="K25:P25"/>
    <mergeCell ref="A42:F42"/>
  </mergeCells>
  <hyperlinks>
    <hyperlink ref="B16" r:id="rId1" display="https://www.statistiques.developpement-durable.gouv.fr/catalogue?page=dataset&amp;datasetId=631b03afb61e5c6479370169" xr:uid="{55F563C2-3B25-44FC-BF43-80EE4555DB50}"/>
    <hyperlink ref="B17" r:id="rId2" display="https://www.insee.fr/fr/statistiques/serie/000442573" xr:uid="{0F188AE3-AD20-4E28-9B17-6ADCA8037470}"/>
    <hyperlink ref="K21" r:id="rId3" display="https://view.officeapps.live.com/op/view.aspx?src=https%3A%2F%2Fwww.statistiques.developpement-durable.gouv.fr%2Fmedia%2F7827%2Fdownload%3Finline&amp;wdOrigin=BROWSELINK" xr:uid="{17AC5F69-77CB-4182-86A5-C0B5F172619F}"/>
    <hyperlink ref="K19" r:id="rId4" display="https://www.statistiques.developpement-durable.gouv.fr/media/8401/download?inline" xr:uid="{6787EFC6-3C64-44AA-A8FF-40163DA4753A}"/>
    <hyperlink ref="K18" r:id="rId5" location=":~:text=Combien%20d%27%C3%A9lectricit%C3%A9%20consomme%20un%20m%C3%A9nage%20en%20France%20%3F,consommations%20d%27%C3%A9lectricit%C3%A9%20par%20compteur%20dans%20tous%20les%20d%C3%A9partements." display="https://www.fournisseurs-electricite.com/compteur/consommation-electrique/moyenne#:~:text=Combien%20d%27%C3%A9lectricit%C3%A9%20consomme%20un%20m%C3%A9nage%20en%20France%20%3F,consommations%20d%27%C3%A9lectricit%C3%A9%20par%20compteur%20dans%20tous%20les%20d%C3%A9partements." xr:uid="{5F1315B7-64ED-425E-96B6-B82A31B4FF67}"/>
    <hyperlink ref="K17" r:id="rId6" display="https://www.statistiques.developpement-durable.gouv.fr/consommation-denergie-par-usage-du-residentiel?rubrique=&amp;dossier=168" xr:uid="{1CF60F35-291C-4557-9480-2BB467D2602F}"/>
    <hyperlink ref="K16" r:id="rId7" display="https://view.officeapps.live.com/op/view.aspx?src=https%3A%2F%2Fwww.statistiques.developpement-durable.gouv.fr%2Fmedia%2F6410%2Fdownload%3Finline&amp;wdOrigin=BROWSELINK" xr:uid="{B64681F8-085F-4684-B775-56E3693E3F0C}"/>
    <hyperlink ref="K20" r:id="rId8" display="https://www.statistiques.developpement-durable.gouv.fr/les-reseaux-de-chaleur-et-froid-en-2023?list-chiffres=true" xr:uid="{74EA4AE5-3F19-45B3-ACA9-14010CCE225C}"/>
    <hyperlink ref="Q8" r:id="rId9" xr:uid="{BA438E1A-91CF-4D55-88D8-4B212A222F11}"/>
    <hyperlink ref="B18" r:id="rId10" display="https://selectra.info/energie/bois" xr:uid="{2D149669-3BC1-4F17-B526-15042FAAF745}"/>
    <hyperlink ref="K22" r:id="rId11" xr:uid="{13170A2F-C9E6-4B6F-B682-2D76E7FAE810}"/>
  </hyperlinks>
  <pageMargins left="0.7" right="0.7" top="0.75" bottom="0.75" header="0.3" footer="0.3"/>
  <pageSetup paperSize="9" orientation="portrait" r:id="rId12"/>
  <ignoredErrors>
    <ignoredError sqref="L28:L36" calculatedColumn="1"/>
  </ignoredErrors>
  <tableParts count="7">
    <tablePart r:id="rId13"/>
    <tablePart r:id="rId14"/>
    <tablePart r:id="rId15"/>
    <tablePart r:id="rId16"/>
    <tablePart r:id="rId17"/>
    <tablePart r:id="rId18"/>
    <tablePart r:id="rId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DEE2F-B063-4F48-8C72-D939CF15B5DE}">
  <dimension ref="A1:Z81"/>
  <sheetViews>
    <sheetView topLeftCell="A62" zoomScale="62" zoomScaleNormal="62" workbookViewId="0">
      <selection activeCell="I23" sqref="I23"/>
    </sheetView>
  </sheetViews>
  <sheetFormatPr defaultRowHeight="15"/>
  <cols>
    <col min="1" max="1" width="31.85546875" customWidth="1"/>
    <col min="2" max="2" width="30.42578125" customWidth="1"/>
    <col min="3" max="3" width="15.42578125" customWidth="1"/>
    <col min="5" max="5" width="10.7109375" customWidth="1"/>
    <col min="10" max="10" width="16.7109375" customWidth="1"/>
    <col min="11" max="11" width="18.85546875" customWidth="1"/>
    <col min="12" max="12" width="48.5703125" customWidth="1"/>
    <col min="13" max="13" width="2" customWidth="1"/>
    <col min="14" max="14" width="20.7109375" customWidth="1"/>
    <col min="15" max="15" width="25" customWidth="1"/>
    <col min="16" max="16" width="23.28515625" customWidth="1"/>
    <col min="17" max="17" width="18.140625" customWidth="1"/>
    <col min="18" max="18" width="16" customWidth="1"/>
    <col min="19" max="19" width="13.5703125" customWidth="1"/>
    <col min="20" max="20" width="9.5703125" customWidth="1"/>
    <col min="22" max="22" width="9.5703125" customWidth="1"/>
    <col min="23" max="23" width="20.42578125" customWidth="1"/>
    <col min="24" max="24" width="29.42578125" customWidth="1"/>
    <col min="25" max="25" width="27" customWidth="1"/>
    <col min="26" max="26" width="1.5703125" style="24" customWidth="1"/>
  </cols>
  <sheetData>
    <row r="1" spans="1:26" ht="34.5" thickBot="1">
      <c r="G1" s="153" t="s">
        <v>53</v>
      </c>
      <c r="H1" s="153"/>
      <c r="I1" s="153"/>
      <c r="J1" s="153"/>
      <c r="K1" s="153"/>
      <c r="L1" s="153"/>
      <c r="M1" s="153"/>
      <c r="N1" s="153"/>
      <c r="O1" s="153"/>
      <c r="P1" s="153"/>
      <c r="Q1" s="153"/>
      <c r="R1" s="153"/>
      <c r="S1" s="153"/>
      <c r="Z1" s="31"/>
    </row>
    <row r="2" spans="1:26" ht="15.75" thickTop="1">
      <c r="A2" s="24"/>
      <c r="B2" s="24"/>
      <c r="C2" s="24"/>
      <c r="D2" s="24"/>
      <c r="E2" s="24"/>
      <c r="F2" s="24"/>
      <c r="G2" s="24"/>
      <c r="H2" s="24"/>
      <c r="I2" s="24"/>
      <c r="J2" s="24"/>
      <c r="K2" s="24"/>
      <c r="L2" s="24"/>
      <c r="M2" s="31"/>
      <c r="N2" s="76"/>
      <c r="O2" s="76"/>
      <c r="P2" s="76"/>
      <c r="Q2" s="76"/>
      <c r="R2" s="76"/>
      <c r="S2" s="76"/>
      <c r="T2" s="76"/>
      <c r="U2" s="76"/>
      <c r="V2" s="76"/>
      <c r="W2" s="76"/>
      <c r="X2" s="76"/>
      <c r="Y2" s="76"/>
      <c r="Z2" s="31"/>
    </row>
    <row r="3" spans="1:26" ht="21.75" thickBot="1">
      <c r="A3" s="158" t="s">
        <v>58</v>
      </c>
      <c r="B3" s="158"/>
      <c r="C3" s="158"/>
      <c r="D3" s="158"/>
      <c r="E3" s="158"/>
      <c r="F3" s="158"/>
      <c r="G3" s="158"/>
      <c r="H3" s="27"/>
      <c r="I3" s="27"/>
      <c r="J3" s="27"/>
      <c r="K3" s="27"/>
      <c r="L3" s="27"/>
      <c r="M3" s="29"/>
      <c r="N3" s="77"/>
      <c r="O3" s="78" t="s">
        <v>72</v>
      </c>
      <c r="P3" s="78"/>
      <c r="Q3" s="78"/>
      <c r="R3" s="78"/>
      <c r="S3" s="78"/>
      <c r="T3" s="78"/>
      <c r="U3" s="78"/>
      <c r="V3" s="78"/>
      <c r="W3" s="79"/>
      <c r="X3" s="79"/>
      <c r="Y3" s="80"/>
      <c r="Z3" s="31"/>
    </row>
    <row r="4" spans="1:26" ht="11.25" customHeight="1" thickTop="1">
      <c r="A4" s="27"/>
      <c r="B4" s="27"/>
      <c r="C4" s="27"/>
      <c r="D4" s="27"/>
      <c r="E4" s="27"/>
      <c r="F4" s="27"/>
      <c r="G4" s="27"/>
      <c r="H4" s="27"/>
      <c r="I4" s="27"/>
      <c r="J4" s="27"/>
      <c r="K4" s="27"/>
      <c r="L4" s="27"/>
      <c r="M4" s="29"/>
      <c r="N4" s="80"/>
      <c r="O4" s="80"/>
      <c r="P4" s="80"/>
      <c r="Q4" s="80"/>
      <c r="R4" s="80"/>
      <c r="S4" s="80"/>
      <c r="T4" s="80"/>
      <c r="U4" s="80"/>
      <c r="V4" s="80"/>
      <c r="W4" s="80"/>
      <c r="X4" s="80"/>
      <c r="Y4" s="80"/>
      <c r="Z4" s="31"/>
    </row>
    <row r="5" spans="1:26" ht="47.25" customHeight="1">
      <c r="A5" s="155" t="s">
        <v>54</v>
      </c>
      <c r="B5" s="155"/>
      <c r="C5" s="155"/>
      <c r="D5" s="155"/>
      <c r="E5" s="155"/>
      <c r="F5" s="155"/>
      <c r="G5" s="155"/>
      <c r="H5" s="155"/>
      <c r="I5" s="155"/>
      <c r="J5" s="155"/>
      <c r="K5" s="155"/>
      <c r="L5" s="27"/>
      <c r="M5" s="29"/>
      <c r="N5" s="80"/>
      <c r="O5" s="154" t="s">
        <v>73</v>
      </c>
      <c r="P5" s="154"/>
      <c r="Q5" s="154"/>
      <c r="R5" s="154"/>
      <c r="S5" s="154"/>
      <c r="T5" s="154"/>
      <c r="U5" s="154"/>
      <c r="V5" s="154"/>
      <c r="W5" s="154"/>
      <c r="X5" s="80"/>
      <c r="Y5" s="80"/>
      <c r="Z5" s="31"/>
    </row>
    <row r="6" spans="1:26" ht="54" customHeight="1">
      <c r="A6" s="155" t="s">
        <v>96</v>
      </c>
      <c r="B6" s="155"/>
      <c r="C6" s="155"/>
      <c r="D6" s="155"/>
      <c r="E6" s="155"/>
      <c r="F6" s="155"/>
      <c r="G6" s="155"/>
      <c r="H6" s="155"/>
      <c r="I6" s="155"/>
      <c r="J6" s="155"/>
      <c r="K6" s="155"/>
      <c r="L6" s="27"/>
      <c r="M6" s="29"/>
      <c r="N6" s="160" t="s">
        <v>74</v>
      </c>
      <c r="O6" s="160"/>
      <c r="P6" s="160"/>
      <c r="Q6" s="160"/>
      <c r="R6" s="160"/>
      <c r="S6" s="160"/>
      <c r="T6" s="160"/>
      <c r="U6" s="160"/>
      <c r="V6" s="160"/>
      <c r="W6" s="160"/>
      <c r="X6" s="160"/>
      <c r="Y6" s="160"/>
      <c r="Z6" s="31"/>
    </row>
    <row r="7" spans="1:26" ht="6" hidden="1" customHeight="1">
      <c r="A7" s="49"/>
      <c r="B7" s="27"/>
      <c r="C7" s="27"/>
      <c r="D7" s="27"/>
      <c r="E7" s="27"/>
      <c r="F7" s="27"/>
      <c r="G7" s="27"/>
      <c r="H7" s="27"/>
      <c r="I7" s="27"/>
      <c r="J7" s="27"/>
      <c r="K7" s="27"/>
      <c r="L7" s="27"/>
      <c r="M7" s="29"/>
      <c r="N7" s="160"/>
      <c r="O7" s="160"/>
      <c r="P7" s="160"/>
      <c r="Q7" s="160"/>
      <c r="R7" s="160"/>
      <c r="S7" s="160"/>
      <c r="T7" s="160"/>
      <c r="U7" s="160"/>
      <c r="V7" s="160"/>
      <c r="W7" s="160"/>
      <c r="X7" s="160"/>
      <c r="Y7" s="160"/>
      <c r="Z7" s="31"/>
    </row>
    <row r="8" spans="1:26" ht="45" customHeight="1">
      <c r="A8" s="155" t="s">
        <v>97</v>
      </c>
      <c r="B8" s="155"/>
      <c r="C8" s="155"/>
      <c r="D8" s="155"/>
      <c r="E8" s="155"/>
      <c r="F8" s="155"/>
      <c r="G8" s="155"/>
      <c r="H8" s="155"/>
      <c r="I8" s="155"/>
      <c r="J8" s="155"/>
      <c r="K8" s="155"/>
      <c r="L8" s="27"/>
      <c r="M8" s="29"/>
      <c r="N8" s="106" t="s">
        <v>108</v>
      </c>
      <c r="O8" s="162" t="s">
        <v>113</v>
      </c>
      <c r="P8" s="162"/>
      <c r="Q8" s="162"/>
      <c r="R8" s="162"/>
      <c r="S8" s="162"/>
      <c r="T8" s="162"/>
      <c r="U8" s="162"/>
      <c r="V8" s="162"/>
      <c r="W8" s="162"/>
      <c r="X8" s="162"/>
      <c r="Y8" s="162"/>
      <c r="Z8" s="31"/>
    </row>
    <row r="9" spans="1:26" ht="69.75" customHeight="1">
      <c r="A9" s="155" t="s">
        <v>98</v>
      </c>
      <c r="B9" s="155"/>
      <c r="C9" s="155"/>
      <c r="D9" s="155"/>
      <c r="E9" s="155"/>
      <c r="F9" s="155"/>
      <c r="G9" s="155"/>
      <c r="H9" s="155"/>
      <c r="I9" s="155"/>
      <c r="J9" s="155"/>
      <c r="K9" s="155"/>
      <c r="L9" s="27"/>
      <c r="M9" s="29"/>
      <c r="N9" s="80"/>
      <c r="O9" s="163" t="s">
        <v>75</v>
      </c>
      <c r="P9" s="163"/>
      <c r="Q9" s="163"/>
      <c r="R9" s="163"/>
      <c r="S9" s="163"/>
      <c r="T9" s="163"/>
      <c r="U9" s="163"/>
      <c r="V9" s="163"/>
      <c r="W9" s="163"/>
      <c r="X9" s="163"/>
      <c r="Y9" s="163"/>
      <c r="Z9" s="31"/>
    </row>
    <row r="10" spans="1:26" ht="21">
      <c r="A10" s="27"/>
      <c r="B10" s="27"/>
      <c r="C10" s="27"/>
      <c r="D10" s="27"/>
      <c r="E10" s="27"/>
      <c r="F10" s="27"/>
      <c r="G10" s="27"/>
      <c r="H10" s="27"/>
      <c r="I10" s="27"/>
      <c r="J10" s="27"/>
      <c r="K10" s="27"/>
      <c r="L10" s="27"/>
      <c r="M10" s="29"/>
      <c r="N10" s="80"/>
      <c r="O10" s="81"/>
      <c r="P10" s="80"/>
      <c r="Q10" s="80"/>
      <c r="R10" s="80"/>
      <c r="S10" s="80"/>
      <c r="T10" s="80"/>
      <c r="U10" s="80"/>
      <c r="V10" s="80"/>
      <c r="W10" s="80"/>
      <c r="X10" s="80"/>
      <c r="Y10" s="80"/>
      <c r="Z10" s="31"/>
    </row>
    <row r="11" spans="1:26" ht="19.5" customHeight="1">
      <c r="A11" s="50" t="s">
        <v>55</v>
      </c>
      <c r="B11" s="51" t="s">
        <v>56</v>
      </c>
      <c r="C11" s="52"/>
      <c r="D11" s="52"/>
      <c r="E11" s="52"/>
      <c r="F11" s="52"/>
      <c r="G11" s="52"/>
      <c r="H11" s="52"/>
      <c r="I11" s="27"/>
      <c r="J11" s="27"/>
      <c r="K11" s="27"/>
      <c r="L11" s="27"/>
      <c r="M11" s="29"/>
      <c r="N11" s="80"/>
      <c r="O11" s="82" t="s">
        <v>76</v>
      </c>
      <c r="P11" s="82"/>
      <c r="Q11" s="82"/>
      <c r="R11" s="82"/>
      <c r="S11" s="82"/>
      <c r="T11" s="82"/>
      <c r="U11" s="82"/>
      <c r="V11" s="82"/>
      <c r="W11" s="82"/>
      <c r="X11" s="82"/>
      <c r="Y11" s="82"/>
      <c r="Z11" s="31"/>
    </row>
    <row r="12" spans="1:26" ht="28.5" customHeight="1">
      <c r="A12" s="27"/>
      <c r="B12" s="27"/>
      <c r="C12" s="27"/>
      <c r="D12" s="27"/>
      <c r="E12" s="27"/>
      <c r="F12" s="27"/>
      <c r="G12" s="27"/>
      <c r="H12" s="27"/>
      <c r="I12" s="27"/>
      <c r="J12" s="27"/>
      <c r="K12" s="27"/>
      <c r="L12" s="27"/>
      <c r="M12" s="29"/>
      <c r="N12" s="80"/>
      <c r="O12" s="159" t="s">
        <v>77</v>
      </c>
      <c r="P12" s="159"/>
      <c r="Q12" s="159"/>
      <c r="R12" s="159" t="s">
        <v>78</v>
      </c>
      <c r="S12" s="159"/>
      <c r="T12" s="159"/>
      <c r="U12" s="159"/>
      <c r="V12" s="159"/>
      <c r="W12" s="159"/>
      <c r="X12" s="80"/>
      <c r="Y12" s="80"/>
      <c r="Z12" s="31"/>
    </row>
    <row r="13" spans="1:26" ht="25.5" customHeight="1">
      <c r="A13" s="156" t="s">
        <v>57</v>
      </c>
      <c r="B13" s="156"/>
      <c r="C13" s="156"/>
      <c r="D13" s="167" t="s">
        <v>115</v>
      </c>
      <c r="E13" s="167"/>
      <c r="F13" s="167"/>
      <c r="G13" s="167"/>
      <c r="H13" s="167"/>
      <c r="I13" s="167"/>
      <c r="J13" s="167"/>
      <c r="K13" s="167"/>
      <c r="L13" s="27"/>
      <c r="M13" s="29"/>
      <c r="N13" s="80"/>
      <c r="O13" s="159"/>
      <c r="P13" s="159"/>
      <c r="Q13" s="159"/>
      <c r="R13" s="164" t="s">
        <v>79</v>
      </c>
      <c r="S13" s="164"/>
      <c r="T13" s="159" t="s">
        <v>80</v>
      </c>
      <c r="U13" s="159"/>
      <c r="V13" s="159"/>
      <c r="W13" s="159"/>
      <c r="X13" s="80"/>
      <c r="Y13" s="80"/>
      <c r="Z13" s="31"/>
    </row>
    <row r="14" spans="1:26" ht="30" customHeight="1">
      <c r="A14" s="27"/>
      <c r="B14" s="27"/>
      <c r="C14" s="27"/>
      <c r="D14" s="27"/>
      <c r="E14" s="27"/>
      <c r="F14" s="27"/>
      <c r="G14" s="27"/>
      <c r="H14" s="27"/>
      <c r="I14" s="27"/>
      <c r="J14" s="27"/>
      <c r="K14" s="27"/>
      <c r="L14" s="27"/>
      <c r="M14" s="29"/>
      <c r="N14" s="80"/>
      <c r="O14" s="159" t="s">
        <v>61</v>
      </c>
      <c r="P14" s="159"/>
      <c r="Q14" s="159"/>
      <c r="R14" s="161" t="s">
        <v>81</v>
      </c>
      <c r="S14" s="161"/>
      <c r="T14" s="161" t="s">
        <v>82</v>
      </c>
      <c r="U14" s="161"/>
      <c r="V14" s="161"/>
      <c r="W14" s="161"/>
      <c r="X14" s="80"/>
      <c r="Y14" s="80"/>
      <c r="Z14" s="31"/>
    </row>
    <row r="15" spans="1:26" ht="41.25" customHeight="1">
      <c r="A15" s="157" t="s">
        <v>99</v>
      </c>
      <c r="B15" s="157"/>
      <c r="C15" s="157"/>
      <c r="D15" s="157"/>
      <c r="E15" s="157"/>
      <c r="F15" s="157"/>
      <c r="G15" s="157"/>
      <c r="H15" s="157"/>
      <c r="I15" s="157"/>
      <c r="J15" s="157"/>
      <c r="K15" s="157"/>
      <c r="L15" s="157"/>
      <c r="M15" s="29"/>
      <c r="N15" s="80"/>
      <c r="O15" s="159" t="s">
        <v>83</v>
      </c>
      <c r="P15" s="159"/>
      <c r="Q15" s="159"/>
      <c r="R15" s="161" t="s">
        <v>84</v>
      </c>
      <c r="S15" s="161"/>
      <c r="T15" s="161" t="s">
        <v>85</v>
      </c>
      <c r="U15" s="161"/>
      <c r="V15" s="161"/>
      <c r="W15" s="161"/>
      <c r="X15" s="80"/>
      <c r="Y15" s="80"/>
      <c r="Z15" s="31"/>
    </row>
    <row r="16" spans="1:26" ht="15" customHeight="1">
      <c r="A16" s="27"/>
      <c r="B16" s="27"/>
      <c r="C16" s="27"/>
      <c r="D16" s="27"/>
      <c r="E16" s="27"/>
      <c r="F16" s="27"/>
      <c r="G16" s="27"/>
      <c r="H16" s="27"/>
      <c r="I16" s="27"/>
      <c r="J16" s="27"/>
      <c r="K16" s="27"/>
      <c r="L16" s="27"/>
      <c r="M16" s="29"/>
      <c r="N16" s="80"/>
      <c r="O16" s="173" t="s">
        <v>86</v>
      </c>
      <c r="P16" s="173"/>
      <c r="Q16" s="173"/>
      <c r="R16" s="173"/>
      <c r="S16" s="173"/>
      <c r="T16" s="173"/>
      <c r="U16" s="173"/>
      <c r="V16" s="173"/>
      <c r="W16" s="173"/>
      <c r="X16" s="80"/>
      <c r="Y16" s="80"/>
      <c r="Z16" s="31"/>
    </row>
    <row r="17" spans="1:26" ht="26.25" customHeight="1">
      <c r="A17" s="168" t="s">
        <v>66</v>
      </c>
      <c r="B17" s="168"/>
      <c r="C17" s="53"/>
      <c r="D17" s="53"/>
      <c r="E17" s="53"/>
      <c r="F17" s="27"/>
      <c r="G17" s="27"/>
      <c r="H17" s="27"/>
      <c r="I17" s="27"/>
      <c r="J17" s="27"/>
      <c r="K17" s="27"/>
      <c r="L17" s="27"/>
      <c r="M17" s="29"/>
      <c r="N17" s="80"/>
      <c r="O17" s="80"/>
      <c r="P17" s="80"/>
      <c r="Q17" s="80"/>
      <c r="R17" s="80"/>
      <c r="S17" s="80"/>
      <c r="T17" s="80"/>
      <c r="U17" s="80"/>
      <c r="V17" s="80"/>
      <c r="W17" s="80"/>
      <c r="X17" s="80"/>
      <c r="Y17" s="80"/>
      <c r="Z17" s="31"/>
    </row>
    <row r="18" spans="1:26" ht="1.5" customHeight="1">
      <c r="A18" s="53"/>
      <c r="B18" s="53"/>
      <c r="C18" s="53"/>
      <c r="D18" s="53"/>
      <c r="E18" s="53"/>
      <c r="F18" s="27"/>
      <c r="G18" s="27"/>
      <c r="H18" s="27"/>
      <c r="I18" s="27"/>
      <c r="J18" s="27"/>
      <c r="K18" s="27"/>
      <c r="L18" s="27"/>
      <c r="M18" s="29"/>
      <c r="N18" s="80"/>
      <c r="O18" s="83" t="s">
        <v>87</v>
      </c>
      <c r="P18" s="84" t="s">
        <v>88</v>
      </c>
      <c r="Q18" s="80"/>
      <c r="R18" s="80"/>
      <c r="S18" s="80"/>
      <c r="T18" s="80"/>
      <c r="U18" s="80"/>
      <c r="V18" s="80"/>
      <c r="W18" s="80"/>
      <c r="X18" s="80"/>
      <c r="Y18" s="80"/>
      <c r="Z18" s="31"/>
    </row>
    <row r="19" spans="1:26" ht="24.75" customHeight="1">
      <c r="A19" s="169" t="s">
        <v>60</v>
      </c>
      <c r="B19" s="169" t="s">
        <v>61</v>
      </c>
      <c r="C19" s="169" t="s">
        <v>62</v>
      </c>
      <c r="D19" s="169"/>
      <c r="E19" s="53"/>
      <c r="F19" s="27"/>
      <c r="G19" s="27"/>
      <c r="H19" s="27"/>
      <c r="I19" s="27"/>
      <c r="J19" s="27"/>
      <c r="K19" s="27"/>
      <c r="L19" s="27"/>
      <c r="M19" s="29"/>
      <c r="N19" s="76"/>
      <c r="O19" s="76"/>
      <c r="P19" s="76"/>
      <c r="Q19" s="76"/>
      <c r="R19" s="76"/>
      <c r="S19" s="76"/>
      <c r="T19" s="76"/>
      <c r="U19" s="76"/>
      <c r="V19" s="76"/>
      <c r="W19" s="76"/>
      <c r="X19" s="76"/>
      <c r="Y19" s="76"/>
      <c r="Z19" s="31"/>
    </row>
    <row r="20" spans="1:26" ht="44.25" customHeight="1">
      <c r="A20" s="169"/>
      <c r="B20" s="169"/>
      <c r="C20" s="169"/>
      <c r="D20" s="169"/>
      <c r="E20" s="53"/>
      <c r="F20" s="27"/>
      <c r="G20" s="27"/>
      <c r="H20" s="27"/>
      <c r="I20" s="27"/>
      <c r="J20" s="27"/>
      <c r="K20" s="27"/>
      <c r="L20" s="27"/>
      <c r="M20" s="29"/>
      <c r="N20" s="76"/>
      <c r="O20" s="85" t="s">
        <v>55</v>
      </c>
      <c r="P20" s="76"/>
      <c r="Q20" s="86" t="s">
        <v>100</v>
      </c>
      <c r="R20" s="76"/>
      <c r="S20" s="76"/>
      <c r="T20" s="76"/>
      <c r="U20" s="76"/>
      <c r="V20" s="76"/>
      <c r="W20" s="76"/>
      <c r="X20" s="76"/>
      <c r="Y20" s="76"/>
      <c r="Z20" s="31"/>
    </row>
    <row r="21" spans="1:26" ht="30" customHeight="1">
      <c r="A21" s="104" t="s">
        <v>64</v>
      </c>
      <c r="B21" s="105" t="s">
        <v>65</v>
      </c>
      <c r="C21" s="170" t="s">
        <v>63</v>
      </c>
      <c r="D21" s="170"/>
      <c r="E21" s="53"/>
      <c r="F21" s="27"/>
      <c r="G21" s="27"/>
      <c r="H21" s="27"/>
      <c r="I21" s="27"/>
      <c r="J21" s="27"/>
      <c r="K21" s="27"/>
      <c r="L21" s="27"/>
      <c r="M21" s="29"/>
      <c r="N21" s="76"/>
      <c r="O21" s="76"/>
      <c r="P21" s="76"/>
      <c r="Q21" s="76"/>
      <c r="R21" s="76"/>
      <c r="S21" s="76"/>
      <c r="T21" s="76"/>
      <c r="U21" s="76"/>
      <c r="V21" s="76"/>
      <c r="W21" s="76"/>
      <c r="X21" s="76"/>
      <c r="Y21" s="76"/>
      <c r="Z21" s="31"/>
    </row>
    <row r="22" spans="1:26" ht="21">
      <c r="A22" s="53"/>
      <c r="B22" s="53"/>
      <c r="C22" s="53"/>
      <c r="D22" s="53"/>
      <c r="E22" s="53"/>
      <c r="F22" s="27"/>
      <c r="G22" s="27"/>
      <c r="H22" s="27"/>
      <c r="I22" s="27"/>
      <c r="J22" s="27"/>
      <c r="K22" s="27"/>
      <c r="L22" s="27"/>
      <c r="M22" s="29"/>
      <c r="N22" s="76"/>
      <c r="O22" s="76"/>
      <c r="P22" s="76"/>
      <c r="Q22" s="76"/>
      <c r="R22" s="76"/>
      <c r="S22" s="76"/>
      <c r="T22" s="76"/>
      <c r="U22" s="76"/>
      <c r="V22" s="76"/>
      <c r="W22" s="76"/>
      <c r="X22" s="76"/>
      <c r="Y22" s="76"/>
      <c r="Z22" s="31"/>
    </row>
    <row r="23" spans="1:26" ht="21">
      <c r="A23" s="54" t="s">
        <v>67</v>
      </c>
      <c r="B23" s="55" t="s">
        <v>59</v>
      </c>
      <c r="C23" s="53"/>
      <c r="D23" s="53"/>
      <c r="E23" s="53"/>
      <c r="F23" s="27"/>
      <c r="G23" s="27"/>
      <c r="H23" s="27"/>
      <c r="I23" s="27"/>
      <c r="J23" s="27"/>
      <c r="K23" s="27"/>
      <c r="L23" s="27"/>
      <c r="M23" s="30"/>
      <c r="N23" s="76"/>
      <c r="O23" s="76"/>
      <c r="P23" s="76"/>
      <c r="Q23" s="76"/>
      <c r="R23" s="76"/>
      <c r="S23" s="76"/>
      <c r="T23" s="76"/>
      <c r="U23" s="76"/>
      <c r="V23" s="76"/>
      <c r="W23" s="76"/>
      <c r="X23" s="76"/>
      <c r="Y23" s="76"/>
      <c r="Z23" s="31"/>
    </row>
    <row r="24" spans="1:26" ht="6" customHeight="1">
      <c r="A24" s="28"/>
      <c r="B24" s="28"/>
      <c r="C24" s="28"/>
      <c r="D24" s="28"/>
      <c r="E24" s="28"/>
      <c r="F24" s="28"/>
      <c r="G24" s="28"/>
      <c r="H24" s="28"/>
      <c r="I24" s="28"/>
      <c r="J24" s="28"/>
      <c r="K24" s="28"/>
      <c r="L24" s="28"/>
      <c r="M24" s="31"/>
      <c r="N24" s="31"/>
      <c r="O24" s="31"/>
      <c r="P24" s="31"/>
      <c r="Q24" s="31"/>
      <c r="R24" s="31"/>
      <c r="S24" s="31"/>
      <c r="T24" s="31"/>
      <c r="U24" s="31"/>
      <c r="V24" s="31"/>
      <c r="W24" s="31"/>
      <c r="X24" s="31"/>
      <c r="Y24" s="31"/>
      <c r="Z24" s="31"/>
    </row>
    <row r="25" spans="1:26">
      <c r="A25" s="70"/>
      <c r="B25" s="70"/>
      <c r="C25" s="70"/>
      <c r="D25" s="70"/>
      <c r="E25" s="70"/>
      <c r="F25" s="70"/>
      <c r="G25" s="70"/>
      <c r="H25" s="70"/>
      <c r="I25" s="70"/>
      <c r="J25" s="70"/>
      <c r="K25" s="70"/>
      <c r="L25" s="70"/>
      <c r="M25" s="31"/>
      <c r="N25" s="56"/>
      <c r="O25" s="56"/>
      <c r="P25" s="56"/>
      <c r="Q25" s="56"/>
      <c r="R25" s="56"/>
      <c r="S25" s="56"/>
      <c r="T25" s="56"/>
      <c r="U25" s="56"/>
      <c r="V25" s="56"/>
      <c r="W25" s="56"/>
      <c r="X25" s="56"/>
      <c r="Y25" s="56"/>
      <c r="Z25" s="31"/>
    </row>
    <row r="26" spans="1:26" ht="29.25" thickBot="1">
      <c r="A26" s="165" t="s">
        <v>95</v>
      </c>
      <c r="B26" s="165"/>
      <c r="C26" s="165"/>
      <c r="D26" s="165"/>
      <c r="E26" s="165"/>
      <c r="F26" s="165"/>
      <c r="G26" s="165"/>
      <c r="H26" s="70"/>
      <c r="I26" s="70"/>
      <c r="J26" s="70"/>
      <c r="K26" s="70"/>
      <c r="L26" s="70"/>
      <c r="M26" s="31"/>
      <c r="N26" s="174" t="s">
        <v>135</v>
      </c>
      <c r="O26" s="174"/>
      <c r="P26" s="174"/>
      <c r="Q26" s="174"/>
      <c r="R26" s="174"/>
      <c r="S26" s="174"/>
      <c r="T26" s="174"/>
      <c r="U26" s="174"/>
      <c r="V26" s="174"/>
      <c r="W26" s="174"/>
      <c r="X26" s="56"/>
      <c r="Y26" s="56"/>
      <c r="Z26" s="31"/>
    </row>
    <row r="27" spans="1:26" ht="15.75" thickTop="1">
      <c r="A27" s="70"/>
      <c r="B27" s="70"/>
      <c r="C27" s="70"/>
      <c r="D27" s="70"/>
      <c r="E27" s="70"/>
      <c r="F27" s="70"/>
      <c r="G27" s="70"/>
      <c r="H27" s="70"/>
      <c r="I27" s="70"/>
      <c r="J27" s="70"/>
      <c r="K27" s="70"/>
      <c r="L27" s="70"/>
      <c r="M27" s="31"/>
      <c r="N27" s="56"/>
      <c r="O27" s="56"/>
      <c r="P27" s="56"/>
      <c r="Q27" s="56"/>
      <c r="R27" s="56"/>
      <c r="S27" s="56"/>
      <c r="T27" s="56"/>
      <c r="U27" s="56"/>
      <c r="V27" s="56"/>
      <c r="W27" s="56"/>
      <c r="X27" s="56"/>
      <c r="Y27" s="56"/>
      <c r="Z27" s="31"/>
    </row>
    <row r="28" spans="1:26" ht="10.5" customHeight="1">
      <c r="A28" s="70"/>
      <c r="B28" s="70"/>
      <c r="C28" s="70"/>
      <c r="D28" s="70"/>
      <c r="E28" s="70"/>
      <c r="F28" s="70"/>
      <c r="G28" s="70"/>
      <c r="H28" s="70"/>
      <c r="I28" s="70"/>
      <c r="J28" s="70"/>
      <c r="K28" s="70"/>
      <c r="L28" s="70"/>
      <c r="M28" s="31"/>
      <c r="N28" s="56"/>
      <c r="O28" s="56"/>
      <c r="P28" s="56"/>
      <c r="Q28" s="56"/>
      <c r="R28" s="56"/>
      <c r="S28" s="56"/>
      <c r="T28" s="56"/>
      <c r="U28" s="56"/>
      <c r="V28" s="56"/>
      <c r="W28" s="56"/>
      <c r="X28" s="56"/>
      <c r="Y28" s="56"/>
      <c r="Z28" s="31"/>
    </row>
    <row r="29" spans="1:26" ht="29.25" customHeight="1" thickBot="1">
      <c r="A29" s="166" t="s">
        <v>91</v>
      </c>
      <c r="B29" s="166"/>
      <c r="C29" s="166"/>
      <c r="D29" s="166"/>
      <c r="E29" s="70"/>
      <c r="F29" s="70"/>
      <c r="G29" s="70"/>
      <c r="H29" s="70"/>
      <c r="I29" s="70"/>
      <c r="J29" s="70"/>
      <c r="K29" s="70"/>
      <c r="L29" s="70"/>
      <c r="M29" s="31"/>
      <c r="N29" s="175" t="s">
        <v>138</v>
      </c>
      <c r="O29" s="176"/>
      <c r="P29" s="176"/>
      <c r="Q29" s="176"/>
      <c r="R29" s="176"/>
      <c r="S29" s="176"/>
      <c r="T29" s="176"/>
      <c r="U29" s="177"/>
      <c r="V29" s="56"/>
      <c r="W29" s="56"/>
      <c r="X29" s="56"/>
      <c r="Y29" s="56"/>
      <c r="Z29" s="31"/>
    </row>
    <row r="30" spans="1:26" ht="25.5" customHeight="1" thickTop="1">
      <c r="A30" s="71" t="s">
        <v>92</v>
      </c>
      <c r="B30" s="71"/>
      <c r="C30" s="71"/>
      <c r="D30" s="71"/>
      <c r="E30" s="71"/>
      <c r="F30" s="71"/>
      <c r="G30" s="71"/>
      <c r="H30" s="71"/>
      <c r="I30" s="71"/>
      <c r="J30" s="71"/>
      <c r="K30" s="71"/>
      <c r="L30" s="71"/>
      <c r="M30" s="28"/>
      <c r="N30" s="172" t="s">
        <v>121</v>
      </c>
      <c r="O30" s="172"/>
      <c r="P30" s="172"/>
      <c r="Q30" s="172" t="s">
        <v>122</v>
      </c>
      <c r="R30" s="172"/>
      <c r="S30" s="172"/>
      <c r="T30" s="172"/>
      <c r="U30" s="172"/>
      <c r="V30" s="172"/>
      <c r="W30" s="172"/>
      <c r="X30" s="172"/>
      <c r="Y30" s="172"/>
      <c r="Z30" s="31"/>
    </row>
    <row r="31" spans="1:26" ht="27.75" customHeight="1">
      <c r="A31" s="71" t="s">
        <v>93</v>
      </c>
      <c r="B31" s="71"/>
      <c r="C31" s="71"/>
      <c r="D31" s="71"/>
      <c r="E31" s="71"/>
      <c r="F31" s="71"/>
      <c r="G31" s="71"/>
      <c r="H31" s="71"/>
      <c r="I31" s="71"/>
      <c r="J31" s="71"/>
      <c r="K31" s="71"/>
      <c r="L31" s="71"/>
      <c r="M31" s="28"/>
      <c r="N31" s="172" t="s">
        <v>123</v>
      </c>
      <c r="O31" s="172"/>
      <c r="P31" s="172"/>
      <c r="Q31" s="171" t="s">
        <v>124</v>
      </c>
      <c r="R31" s="171"/>
      <c r="S31" s="171"/>
      <c r="T31" s="171"/>
      <c r="U31" s="171"/>
      <c r="V31" s="171"/>
      <c r="W31" s="171"/>
      <c r="X31" s="171"/>
      <c r="Y31" s="171"/>
      <c r="Z31" s="31"/>
    </row>
    <row r="32" spans="1:26" ht="43.5" customHeight="1">
      <c r="A32" s="71" t="s">
        <v>94</v>
      </c>
      <c r="B32" s="71"/>
      <c r="C32" s="71"/>
      <c r="D32" s="71"/>
      <c r="E32" s="71"/>
      <c r="F32" s="71"/>
      <c r="G32" s="71"/>
      <c r="H32" s="71"/>
      <c r="I32" s="71"/>
      <c r="J32" s="71"/>
      <c r="K32" s="71"/>
      <c r="L32" s="71"/>
      <c r="M32" s="28"/>
      <c r="N32" s="172" t="s">
        <v>125</v>
      </c>
      <c r="O32" s="172"/>
      <c r="P32" s="172"/>
      <c r="Q32" s="171" t="s">
        <v>126</v>
      </c>
      <c r="R32" s="171"/>
      <c r="S32" s="171"/>
      <c r="T32" s="171"/>
      <c r="U32" s="171"/>
      <c r="V32" s="171"/>
      <c r="W32" s="171"/>
      <c r="X32" s="171"/>
      <c r="Y32" s="171"/>
      <c r="Z32" s="31"/>
    </row>
    <row r="33" spans="1:26" ht="66" customHeight="1">
      <c r="A33" s="72"/>
      <c r="B33" s="72"/>
      <c r="C33" s="72"/>
      <c r="D33" s="72"/>
      <c r="E33" s="72"/>
      <c r="F33" s="72"/>
      <c r="G33" s="72"/>
      <c r="H33" s="72"/>
      <c r="I33" s="72"/>
      <c r="J33" s="72"/>
      <c r="K33" s="72"/>
      <c r="L33" s="72"/>
      <c r="M33" s="28"/>
      <c r="N33" s="172" t="s">
        <v>127</v>
      </c>
      <c r="O33" s="172"/>
      <c r="P33" s="172"/>
      <c r="Q33" s="171" t="s">
        <v>128</v>
      </c>
      <c r="R33" s="171"/>
      <c r="S33" s="171"/>
      <c r="T33" s="171"/>
      <c r="U33" s="171"/>
      <c r="V33" s="171"/>
      <c r="W33" s="171"/>
      <c r="X33" s="171"/>
      <c r="Y33" s="171"/>
      <c r="Z33" s="31"/>
    </row>
    <row r="34" spans="1:26" ht="32.25" customHeight="1">
      <c r="A34" s="70"/>
      <c r="B34" s="70"/>
      <c r="C34" s="70"/>
      <c r="D34" s="70"/>
      <c r="E34" s="70"/>
      <c r="F34" s="70"/>
      <c r="G34" s="70"/>
      <c r="H34" s="70"/>
      <c r="I34" s="70"/>
      <c r="J34" s="70"/>
      <c r="K34" s="70"/>
      <c r="L34" s="70"/>
      <c r="M34" s="31"/>
      <c r="N34" s="172" t="s">
        <v>129</v>
      </c>
      <c r="O34" s="172"/>
      <c r="P34" s="172"/>
      <c r="Q34" s="171" t="s">
        <v>130</v>
      </c>
      <c r="R34" s="171"/>
      <c r="S34" s="171"/>
      <c r="T34" s="171"/>
      <c r="U34" s="171"/>
      <c r="V34" s="171"/>
      <c r="W34" s="171"/>
      <c r="X34" s="171"/>
      <c r="Y34" s="171"/>
      <c r="Z34" s="31"/>
    </row>
    <row r="35" spans="1:26" ht="32.25" customHeight="1">
      <c r="A35" s="70"/>
      <c r="B35" s="70"/>
      <c r="C35" s="70"/>
      <c r="D35" s="70"/>
      <c r="E35" s="70"/>
      <c r="F35" s="70"/>
      <c r="G35" s="70"/>
      <c r="H35" s="70"/>
      <c r="I35" s="70"/>
      <c r="J35" s="70"/>
      <c r="K35" s="70"/>
      <c r="L35" s="70"/>
      <c r="M35" s="31"/>
      <c r="N35" s="172" t="s">
        <v>131</v>
      </c>
      <c r="O35" s="172"/>
      <c r="P35" s="172"/>
      <c r="Q35" s="171" t="s">
        <v>132</v>
      </c>
      <c r="R35" s="171"/>
      <c r="S35" s="171"/>
      <c r="T35" s="171"/>
      <c r="U35" s="171"/>
      <c r="V35" s="171"/>
      <c r="W35" s="171"/>
      <c r="X35" s="171"/>
      <c r="Y35" s="171"/>
      <c r="Z35" s="31"/>
    </row>
    <row r="36" spans="1:26" ht="27" customHeight="1">
      <c r="A36" s="70"/>
      <c r="B36" s="70"/>
      <c r="C36" s="70"/>
      <c r="D36" s="70"/>
      <c r="E36" s="70"/>
      <c r="F36" s="70"/>
      <c r="G36" s="70"/>
      <c r="H36" s="70"/>
      <c r="I36" s="70"/>
      <c r="J36" s="70"/>
      <c r="K36" s="70"/>
      <c r="L36" s="70"/>
      <c r="M36" s="31"/>
      <c r="N36" s="172" t="s">
        <v>133</v>
      </c>
      <c r="O36" s="172"/>
      <c r="P36" s="172"/>
      <c r="Q36" s="171" t="s">
        <v>134</v>
      </c>
      <c r="R36" s="171"/>
      <c r="S36" s="171"/>
      <c r="T36" s="171"/>
      <c r="U36" s="171"/>
      <c r="V36" s="171"/>
      <c r="W36" s="171"/>
      <c r="X36" s="171"/>
      <c r="Y36" s="171"/>
      <c r="Z36" s="31"/>
    </row>
    <row r="37" spans="1:26" ht="21">
      <c r="A37" s="70"/>
      <c r="B37" s="70"/>
      <c r="C37" s="70"/>
      <c r="D37" s="70"/>
      <c r="E37" s="70"/>
      <c r="F37" s="70"/>
      <c r="G37" s="70"/>
      <c r="H37" s="70"/>
      <c r="I37" s="70"/>
      <c r="J37" s="70"/>
      <c r="K37" s="70"/>
      <c r="L37" s="70"/>
      <c r="M37" s="31"/>
      <c r="N37" s="57"/>
      <c r="O37" s="57"/>
      <c r="P37" s="57"/>
      <c r="Q37" s="57"/>
      <c r="R37" s="57"/>
      <c r="S37" s="57"/>
      <c r="T37" s="57"/>
      <c r="U37" s="57"/>
      <c r="V37" s="57"/>
      <c r="W37" s="57"/>
      <c r="X37" s="57"/>
      <c r="Y37" s="57"/>
      <c r="Z37" s="31"/>
    </row>
    <row r="38" spans="1:26" ht="21">
      <c r="A38" s="70"/>
      <c r="B38" s="70"/>
      <c r="C38" s="70"/>
      <c r="D38" s="70"/>
      <c r="E38" s="70"/>
      <c r="F38" s="70"/>
      <c r="G38" s="70"/>
      <c r="H38" s="70"/>
      <c r="I38" s="70"/>
      <c r="J38" s="70"/>
      <c r="K38" s="70"/>
      <c r="L38" s="70"/>
      <c r="M38" s="31"/>
      <c r="N38" s="58" t="s">
        <v>136</v>
      </c>
      <c r="O38" s="59" t="s">
        <v>137</v>
      </c>
      <c r="P38" s="60"/>
      <c r="Q38" s="57"/>
      <c r="R38" s="57"/>
      <c r="S38" s="60"/>
      <c r="T38" s="57"/>
      <c r="U38" s="57"/>
      <c r="V38" s="57"/>
      <c r="W38" s="57"/>
      <c r="X38" s="57"/>
      <c r="Y38" s="57"/>
      <c r="Z38" s="31"/>
    </row>
    <row r="39" spans="1:26" ht="21">
      <c r="A39" s="70"/>
      <c r="B39" s="70"/>
      <c r="C39" s="70"/>
      <c r="D39" s="70"/>
      <c r="E39" s="70"/>
      <c r="F39" s="70"/>
      <c r="G39" s="70"/>
      <c r="H39" s="70"/>
      <c r="I39" s="70"/>
      <c r="J39" s="70"/>
      <c r="K39" s="70"/>
      <c r="L39" s="70"/>
      <c r="M39" s="31"/>
      <c r="N39" s="57"/>
      <c r="O39" s="57"/>
      <c r="P39" s="57"/>
      <c r="Q39" s="57"/>
      <c r="R39" s="57"/>
      <c r="S39" s="57"/>
      <c r="T39" s="57"/>
      <c r="U39" s="57"/>
      <c r="V39" s="57"/>
      <c r="W39" s="57"/>
      <c r="X39" s="57"/>
      <c r="Y39" s="57"/>
      <c r="Z39" s="31"/>
    </row>
    <row r="40" spans="1:26" ht="21">
      <c r="A40" s="70"/>
      <c r="B40" s="70"/>
      <c r="C40" s="70"/>
      <c r="D40" s="70"/>
      <c r="E40" s="70"/>
      <c r="F40" s="70"/>
      <c r="G40" s="70"/>
      <c r="H40" s="70"/>
      <c r="I40" s="70"/>
      <c r="J40" s="70"/>
      <c r="K40" s="70"/>
      <c r="L40" s="70"/>
      <c r="M40" s="31"/>
      <c r="N40" s="184" t="s">
        <v>139</v>
      </c>
      <c r="O40" s="184"/>
      <c r="P40" s="184"/>
      <c r="Q40" s="184"/>
      <c r="R40" s="184"/>
      <c r="S40" s="184"/>
      <c r="T40" s="184"/>
      <c r="U40" s="184"/>
      <c r="V40" s="184"/>
      <c r="W40" s="57"/>
      <c r="X40" s="57"/>
      <c r="Y40" s="57"/>
      <c r="Z40" s="31"/>
    </row>
    <row r="41" spans="1:26" ht="21">
      <c r="A41" s="70"/>
      <c r="B41" s="70"/>
      <c r="C41" s="70"/>
      <c r="D41" s="70"/>
      <c r="E41" s="70"/>
      <c r="F41" s="70"/>
      <c r="G41" s="70"/>
      <c r="H41" s="70"/>
      <c r="I41" s="70"/>
      <c r="J41" s="70"/>
      <c r="K41" s="70"/>
      <c r="L41" s="70"/>
      <c r="M41" s="31"/>
      <c r="N41" s="184"/>
      <c r="O41" s="184"/>
      <c r="P41" s="184"/>
      <c r="Q41" s="184"/>
      <c r="R41" s="184"/>
      <c r="S41" s="184"/>
      <c r="T41" s="184"/>
      <c r="U41" s="184"/>
      <c r="V41" s="184"/>
      <c r="W41" s="57"/>
      <c r="X41" s="57"/>
      <c r="Y41" s="57"/>
      <c r="Z41" s="31"/>
    </row>
    <row r="42" spans="1:26" ht="20.25">
      <c r="A42" s="70"/>
      <c r="B42" s="70"/>
      <c r="C42" s="70"/>
      <c r="D42" s="70"/>
      <c r="E42" s="70"/>
      <c r="F42" s="70"/>
      <c r="G42" s="70"/>
      <c r="H42" s="70"/>
      <c r="I42" s="70"/>
      <c r="J42" s="70"/>
      <c r="K42" s="70"/>
      <c r="L42" s="70"/>
      <c r="M42" s="31"/>
      <c r="N42" s="179" t="s">
        <v>141</v>
      </c>
      <c r="O42" s="179"/>
      <c r="P42" s="179"/>
      <c r="Q42" s="179"/>
      <c r="R42" s="179"/>
      <c r="S42" s="179"/>
      <c r="T42" s="179"/>
      <c r="U42" s="179"/>
      <c r="V42" s="179"/>
      <c r="W42" s="179"/>
      <c r="X42" s="179"/>
      <c r="Y42" s="179"/>
      <c r="Z42" s="31"/>
    </row>
    <row r="43" spans="1:26" ht="21">
      <c r="A43" s="70"/>
      <c r="B43" s="70"/>
      <c r="C43" s="70"/>
      <c r="D43" s="70"/>
      <c r="E43" s="70"/>
      <c r="F43" s="70"/>
      <c r="G43" s="70"/>
      <c r="H43" s="70"/>
      <c r="I43" s="70"/>
      <c r="J43" s="70"/>
      <c r="K43" s="70"/>
      <c r="L43" s="70"/>
      <c r="M43" s="31"/>
      <c r="N43" s="57"/>
      <c r="O43" s="57"/>
      <c r="P43" s="57"/>
      <c r="Q43" s="57"/>
      <c r="R43" s="57"/>
      <c r="S43" s="57"/>
      <c r="T43" s="57"/>
      <c r="U43" s="57"/>
      <c r="V43" s="57"/>
      <c r="W43" s="57"/>
      <c r="X43" s="57"/>
      <c r="Y43" s="57"/>
      <c r="Z43" s="31"/>
    </row>
    <row r="44" spans="1:26" ht="21">
      <c r="A44" s="70"/>
      <c r="B44" s="70"/>
      <c r="C44" s="70"/>
      <c r="D44" s="70"/>
      <c r="E44" s="70"/>
      <c r="F44" s="70"/>
      <c r="G44" s="70"/>
      <c r="H44" s="70"/>
      <c r="I44" s="70"/>
      <c r="J44" s="70"/>
      <c r="K44" s="70"/>
      <c r="L44" s="70"/>
      <c r="M44" s="31"/>
      <c r="N44" s="61" t="s">
        <v>87</v>
      </c>
      <c r="O44" s="62" t="s">
        <v>142</v>
      </c>
      <c r="P44" s="57"/>
      <c r="Q44" s="57"/>
      <c r="R44" s="57"/>
      <c r="S44" s="57"/>
      <c r="T44" s="57"/>
      <c r="U44" s="57"/>
      <c r="V44" s="57"/>
      <c r="W44" s="57"/>
      <c r="X44" s="57"/>
      <c r="Y44" s="57"/>
      <c r="Z44" s="31"/>
    </row>
    <row r="45" spans="1:26" ht="21">
      <c r="A45" s="70"/>
      <c r="B45" s="70"/>
      <c r="C45" s="70"/>
      <c r="D45" s="70"/>
      <c r="E45" s="70"/>
      <c r="F45" s="70"/>
      <c r="G45" s="70"/>
      <c r="H45" s="70"/>
      <c r="I45" s="70"/>
      <c r="J45" s="70"/>
      <c r="K45" s="70"/>
      <c r="L45" s="70"/>
      <c r="M45" s="31"/>
      <c r="N45" s="57"/>
      <c r="O45" s="57"/>
      <c r="P45" s="57"/>
      <c r="Q45" s="57"/>
      <c r="R45" s="57"/>
      <c r="S45" s="57"/>
      <c r="T45" s="57"/>
      <c r="U45" s="57"/>
      <c r="V45" s="57"/>
      <c r="W45" s="57"/>
      <c r="X45" s="57"/>
      <c r="Y45" s="57"/>
      <c r="Z45" s="31"/>
    </row>
    <row r="46" spans="1:26" ht="21">
      <c r="A46" s="70"/>
      <c r="B46" s="70"/>
      <c r="C46" s="70"/>
      <c r="D46" s="70"/>
      <c r="E46" s="70"/>
      <c r="F46" s="70"/>
      <c r="G46" s="70"/>
      <c r="H46" s="70"/>
      <c r="I46" s="70"/>
      <c r="J46" s="70"/>
      <c r="K46" s="70"/>
      <c r="L46" s="70"/>
      <c r="M46" s="31"/>
      <c r="N46" s="57"/>
      <c r="O46" s="57"/>
      <c r="P46" s="57"/>
      <c r="Q46" s="57"/>
      <c r="R46" s="57"/>
      <c r="S46" s="57"/>
      <c r="T46" s="57"/>
      <c r="U46" s="57"/>
      <c r="V46" s="57"/>
      <c r="W46" s="57"/>
      <c r="X46" s="57"/>
      <c r="Y46" s="57"/>
      <c r="Z46" s="31"/>
    </row>
    <row r="47" spans="1:26" ht="21">
      <c r="A47" s="70"/>
      <c r="B47" s="70"/>
      <c r="C47" s="70"/>
      <c r="D47" s="70"/>
      <c r="E47" s="70"/>
      <c r="F47" s="70"/>
      <c r="G47" s="70"/>
      <c r="H47" s="70"/>
      <c r="I47" s="70"/>
      <c r="J47" s="70"/>
      <c r="K47" s="70"/>
      <c r="L47" s="70"/>
      <c r="M47" s="31"/>
      <c r="N47" s="57"/>
      <c r="O47" s="57"/>
      <c r="P47" s="57"/>
      <c r="Q47" s="57"/>
      <c r="R47" s="57"/>
      <c r="S47" s="57"/>
      <c r="T47" s="57"/>
      <c r="U47" s="57"/>
      <c r="V47" s="57"/>
      <c r="W47" s="57"/>
      <c r="X47" s="57"/>
      <c r="Y47" s="57"/>
      <c r="Z47" s="31"/>
    </row>
    <row r="48" spans="1:26" ht="21">
      <c r="A48" s="70"/>
      <c r="B48" s="70"/>
      <c r="C48" s="70"/>
      <c r="D48" s="70"/>
      <c r="E48" s="70"/>
      <c r="F48" s="70"/>
      <c r="G48" s="70"/>
      <c r="H48" s="70"/>
      <c r="I48" s="70"/>
      <c r="J48" s="70"/>
      <c r="K48" s="70"/>
      <c r="L48" s="70"/>
      <c r="M48" s="31"/>
      <c r="N48" s="57"/>
      <c r="O48" s="57"/>
      <c r="P48" s="57"/>
      <c r="Q48" s="57"/>
      <c r="R48" s="57"/>
      <c r="S48" s="57"/>
      <c r="T48" s="57"/>
      <c r="U48" s="57"/>
      <c r="V48" s="57"/>
      <c r="W48" s="57"/>
      <c r="X48" s="57"/>
      <c r="Y48" s="57"/>
      <c r="Z48" s="31"/>
    </row>
    <row r="49" spans="1:26" ht="21">
      <c r="A49" s="70"/>
      <c r="B49" s="70"/>
      <c r="C49" s="70"/>
      <c r="D49" s="70"/>
      <c r="E49" s="70"/>
      <c r="F49" s="70"/>
      <c r="G49" s="70"/>
      <c r="H49" s="70"/>
      <c r="I49" s="70"/>
      <c r="J49" s="70"/>
      <c r="K49" s="182" t="s">
        <v>103</v>
      </c>
      <c r="L49" s="182"/>
      <c r="M49" s="31"/>
      <c r="N49" s="57"/>
      <c r="O49" s="57"/>
      <c r="P49" s="57"/>
      <c r="Q49" s="57"/>
      <c r="R49" s="57"/>
      <c r="S49" s="57"/>
      <c r="T49" s="57"/>
      <c r="U49" s="57"/>
      <c r="V49" s="57"/>
      <c r="W49" s="57"/>
      <c r="X49" s="57"/>
      <c r="Y49" s="57"/>
      <c r="Z49" s="31"/>
    </row>
    <row r="50" spans="1:26" ht="3.75" customHeight="1">
      <c r="A50" s="70"/>
      <c r="B50" s="70"/>
      <c r="C50" s="70"/>
      <c r="D50" s="70"/>
      <c r="E50" s="70"/>
      <c r="F50" s="70"/>
      <c r="G50" s="70"/>
      <c r="H50" s="70"/>
      <c r="I50" s="70"/>
      <c r="J50" s="70"/>
      <c r="K50" s="111"/>
      <c r="L50" s="111"/>
      <c r="M50" s="31"/>
      <c r="N50" s="57"/>
      <c r="O50" s="57"/>
      <c r="P50" s="57"/>
      <c r="Q50" s="57"/>
      <c r="R50" s="57"/>
      <c r="S50" s="57"/>
      <c r="T50" s="57"/>
      <c r="U50" s="57"/>
      <c r="V50" s="57"/>
      <c r="W50" s="57"/>
      <c r="X50" s="57"/>
      <c r="Y50" s="57"/>
      <c r="Z50" s="31"/>
    </row>
    <row r="51" spans="1:26" ht="22.5" customHeight="1">
      <c r="A51" s="70"/>
      <c r="B51" s="70"/>
      <c r="C51" s="70"/>
      <c r="D51" s="70"/>
      <c r="E51" s="70"/>
      <c r="F51" s="70"/>
      <c r="G51" s="70"/>
      <c r="H51" s="70"/>
      <c r="I51" s="70"/>
      <c r="J51" s="70"/>
      <c r="K51" s="183" t="s">
        <v>104</v>
      </c>
      <c r="L51" s="183"/>
      <c r="M51" s="31"/>
      <c r="N51" s="57"/>
      <c r="O51" s="57"/>
      <c r="P51" s="57"/>
      <c r="Q51" s="57"/>
      <c r="R51" s="57"/>
      <c r="S51" s="57"/>
      <c r="T51" s="57"/>
      <c r="U51" s="57"/>
      <c r="V51" s="57"/>
      <c r="W51" s="57"/>
      <c r="X51" s="57"/>
      <c r="Y51" s="57"/>
      <c r="Z51" s="31"/>
    </row>
    <row r="52" spans="1:26" ht="21">
      <c r="A52" s="70"/>
      <c r="B52" s="70"/>
      <c r="C52" s="70"/>
      <c r="D52" s="70"/>
      <c r="E52" s="70"/>
      <c r="F52" s="70"/>
      <c r="G52" s="70"/>
      <c r="H52" s="70"/>
      <c r="I52" s="70"/>
      <c r="J52" s="70"/>
      <c r="K52" s="70"/>
      <c r="L52" s="70"/>
      <c r="M52" s="31"/>
      <c r="N52" s="57"/>
      <c r="O52" s="57"/>
      <c r="P52" s="57"/>
      <c r="Q52" s="57"/>
      <c r="R52" s="57"/>
      <c r="S52" s="57"/>
      <c r="T52" s="57"/>
      <c r="U52" s="57"/>
      <c r="V52" s="57"/>
      <c r="W52" s="57"/>
      <c r="X52" s="57"/>
      <c r="Y52" s="57"/>
      <c r="Z52" s="31"/>
    </row>
    <row r="53" spans="1:26" ht="21">
      <c r="A53" s="70"/>
      <c r="B53" s="70"/>
      <c r="C53" s="70"/>
      <c r="D53" s="70"/>
      <c r="E53" s="70"/>
      <c r="F53" s="70"/>
      <c r="G53" s="70"/>
      <c r="H53" s="70"/>
      <c r="I53" s="70"/>
      <c r="J53" s="70"/>
      <c r="K53" s="70"/>
      <c r="L53" s="70"/>
      <c r="M53" s="31"/>
      <c r="N53" s="57"/>
      <c r="O53" s="57"/>
      <c r="P53" s="57"/>
      <c r="Q53" s="57"/>
      <c r="R53" s="57"/>
      <c r="S53" s="57"/>
      <c r="T53" s="57"/>
      <c r="U53" s="57"/>
      <c r="V53" s="57"/>
      <c r="W53" s="57"/>
      <c r="X53" s="57"/>
      <c r="Y53" s="57"/>
      <c r="Z53" s="31"/>
    </row>
    <row r="54" spans="1:26" ht="21">
      <c r="A54" s="70"/>
      <c r="B54" s="70"/>
      <c r="C54" s="70"/>
      <c r="D54" s="70"/>
      <c r="E54" s="70"/>
      <c r="F54" s="70"/>
      <c r="G54" s="70"/>
      <c r="H54" s="70"/>
      <c r="I54" s="70"/>
      <c r="J54" s="70"/>
      <c r="K54" s="70"/>
      <c r="L54" s="70"/>
      <c r="M54" s="31"/>
      <c r="N54" s="57"/>
      <c r="O54" s="57"/>
      <c r="P54" s="57"/>
      <c r="Q54" s="57"/>
      <c r="R54" s="57"/>
      <c r="S54" s="57"/>
      <c r="T54" s="57"/>
      <c r="U54" s="57"/>
      <c r="V54" s="57"/>
      <c r="W54" s="57"/>
      <c r="X54" s="57"/>
      <c r="Y54" s="57"/>
      <c r="Z54" s="31"/>
    </row>
    <row r="55" spans="1:26" ht="21">
      <c r="A55" s="70"/>
      <c r="B55" s="70"/>
      <c r="C55" s="70"/>
      <c r="D55" s="70"/>
      <c r="E55" s="70"/>
      <c r="F55" s="70"/>
      <c r="G55" s="70"/>
      <c r="H55" s="70"/>
      <c r="I55" s="70"/>
      <c r="J55" s="70"/>
      <c r="K55" s="70"/>
      <c r="L55" s="70"/>
      <c r="M55" s="31"/>
      <c r="N55" s="57"/>
      <c r="O55" s="57"/>
      <c r="P55" s="57"/>
      <c r="Q55" s="57"/>
      <c r="R55" s="57"/>
      <c r="S55" s="57"/>
      <c r="T55" s="57"/>
      <c r="U55" s="57"/>
      <c r="V55" s="57"/>
      <c r="W55" s="57"/>
      <c r="X55" s="57"/>
      <c r="Y55" s="57"/>
      <c r="Z55" s="31"/>
    </row>
    <row r="56" spans="1:26" ht="21">
      <c r="A56" s="107" t="s">
        <v>57</v>
      </c>
      <c r="B56" s="108"/>
      <c r="C56" s="109"/>
      <c r="D56" s="110" t="s">
        <v>114</v>
      </c>
      <c r="E56" s="110"/>
      <c r="F56" s="110"/>
      <c r="G56" s="110"/>
      <c r="H56" s="110"/>
      <c r="I56" s="110"/>
      <c r="J56" s="73"/>
      <c r="K56" s="73"/>
      <c r="L56" s="73"/>
      <c r="M56" s="31"/>
      <c r="N56" s="57"/>
      <c r="O56" s="57"/>
      <c r="P56" s="57"/>
      <c r="Q56" s="57"/>
      <c r="R56" s="57"/>
      <c r="S56" s="57"/>
      <c r="T56" s="57"/>
      <c r="U56" s="57"/>
      <c r="V56" s="57"/>
      <c r="W56" s="57"/>
      <c r="X56" s="57"/>
      <c r="Y56" s="57"/>
      <c r="Z56" s="31"/>
    </row>
    <row r="57" spans="1:26" ht="21">
      <c r="A57" s="70"/>
      <c r="B57" s="70"/>
      <c r="C57" s="70"/>
      <c r="D57" s="70"/>
      <c r="E57" s="70"/>
      <c r="F57" s="70"/>
      <c r="G57" s="70"/>
      <c r="H57" s="70"/>
      <c r="I57" s="70"/>
      <c r="J57" s="70"/>
      <c r="K57" s="70"/>
      <c r="L57" s="70"/>
      <c r="M57" s="31"/>
      <c r="N57" s="57"/>
      <c r="O57" s="57"/>
      <c r="P57" s="57"/>
      <c r="Q57" s="57"/>
      <c r="R57" s="57"/>
      <c r="S57" s="57"/>
      <c r="T57" s="57"/>
      <c r="U57" s="57"/>
      <c r="V57" s="57"/>
      <c r="W57" s="57"/>
      <c r="X57" s="57"/>
      <c r="Y57" s="57"/>
      <c r="Z57" s="31"/>
    </row>
    <row r="58" spans="1:26" ht="21">
      <c r="A58" s="70"/>
      <c r="B58" s="70"/>
      <c r="C58" s="70"/>
      <c r="D58" s="70"/>
      <c r="E58" s="70"/>
      <c r="F58" s="70"/>
      <c r="G58" s="70"/>
      <c r="H58" s="70"/>
      <c r="I58" s="70"/>
      <c r="J58" s="70"/>
      <c r="K58" s="70"/>
      <c r="L58" s="70"/>
      <c r="M58" s="31"/>
      <c r="N58" s="57"/>
      <c r="O58" s="57"/>
      <c r="P58" s="57"/>
      <c r="Q58" s="57"/>
      <c r="R58" s="57"/>
      <c r="S58" s="57"/>
      <c r="T58" s="57"/>
      <c r="U58" s="57"/>
      <c r="V58" s="57"/>
      <c r="W58" s="57"/>
      <c r="X58" s="57"/>
      <c r="Y58" s="57"/>
      <c r="Z58" s="31"/>
    </row>
    <row r="59" spans="1:26" ht="21">
      <c r="A59" s="87" t="s">
        <v>67</v>
      </c>
      <c r="B59" s="74" t="s">
        <v>101</v>
      </c>
      <c r="C59" s="70"/>
      <c r="D59" s="70"/>
      <c r="E59" s="70"/>
      <c r="F59" s="70"/>
      <c r="G59" s="70"/>
      <c r="H59" s="70"/>
      <c r="I59" s="70"/>
      <c r="J59" s="70"/>
      <c r="K59" s="70"/>
      <c r="L59" s="70"/>
      <c r="M59" s="31"/>
      <c r="N59" s="57"/>
      <c r="O59" s="57"/>
      <c r="P59" s="57"/>
      <c r="Q59" s="57"/>
      <c r="R59" s="57"/>
      <c r="S59" s="57"/>
      <c r="T59" s="57"/>
      <c r="U59" s="57"/>
      <c r="V59" s="57"/>
      <c r="W59" s="57"/>
      <c r="X59" s="57"/>
      <c r="Y59" s="57"/>
      <c r="Z59" s="31"/>
    </row>
    <row r="60" spans="1:26" ht="15" customHeight="1">
      <c r="A60" s="70"/>
      <c r="B60" s="75" t="s">
        <v>102</v>
      </c>
      <c r="C60" s="70"/>
      <c r="D60" s="70"/>
      <c r="E60" s="70"/>
      <c r="F60" s="70"/>
      <c r="G60" s="70"/>
      <c r="H60" s="70"/>
      <c r="I60" s="70"/>
      <c r="J60" s="70"/>
      <c r="K60" s="70"/>
      <c r="L60" s="70"/>
      <c r="M60" s="31"/>
      <c r="N60" s="181" t="s">
        <v>143</v>
      </c>
      <c r="O60" s="181"/>
      <c r="P60" s="181"/>
      <c r="Q60" s="181"/>
      <c r="R60" s="181"/>
      <c r="S60" s="181"/>
      <c r="T60" s="180" t="s">
        <v>144</v>
      </c>
      <c r="U60" s="180"/>
      <c r="V60" s="180"/>
      <c r="W60" s="180"/>
      <c r="X60" s="57"/>
      <c r="Y60" s="57"/>
      <c r="Z60" s="31"/>
    </row>
    <row r="61" spans="1:26" ht="18" customHeight="1">
      <c r="A61" s="70"/>
      <c r="B61" s="70"/>
      <c r="C61" s="70"/>
      <c r="D61" s="70"/>
      <c r="E61" s="70"/>
      <c r="F61" s="70"/>
      <c r="G61" s="70"/>
      <c r="H61" s="70"/>
      <c r="I61" s="70"/>
      <c r="J61" s="70"/>
      <c r="K61" s="70"/>
      <c r="L61" s="70"/>
      <c r="M61" s="31"/>
      <c r="N61" s="181"/>
      <c r="O61" s="181"/>
      <c r="P61" s="181"/>
      <c r="Q61" s="181"/>
      <c r="R61" s="181"/>
      <c r="S61" s="181"/>
      <c r="T61" s="180"/>
      <c r="U61" s="180"/>
      <c r="V61" s="180"/>
      <c r="W61" s="180"/>
      <c r="X61" s="57"/>
      <c r="Y61" s="57"/>
      <c r="Z61" s="31"/>
    </row>
    <row r="62" spans="1:26" ht="21">
      <c r="A62" s="70"/>
      <c r="B62" s="70"/>
      <c r="C62" s="70"/>
      <c r="D62" s="70"/>
      <c r="E62" s="70"/>
      <c r="F62" s="70"/>
      <c r="G62" s="70"/>
      <c r="H62" s="70"/>
      <c r="I62" s="70"/>
      <c r="J62" s="70"/>
      <c r="K62" s="70"/>
      <c r="L62" s="70"/>
      <c r="M62" s="31"/>
      <c r="N62" s="58" t="s">
        <v>87</v>
      </c>
      <c r="O62" s="62" t="s">
        <v>145</v>
      </c>
      <c r="P62" s="57"/>
      <c r="Q62" s="57"/>
      <c r="R62" s="57"/>
      <c r="S62" s="57"/>
      <c r="T62" s="57"/>
      <c r="U62" s="57"/>
      <c r="V62" s="57"/>
      <c r="W62" s="57"/>
      <c r="X62" s="57"/>
      <c r="Y62" s="57"/>
      <c r="Z62" s="31"/>
    </row>
    <row r="63" spans="1:26" ht="21">
      <c r="A63" s="70"/>
      <c r="B63" s="70"/>
      <c r="C63" s="70"/>
      <c r="D63" s="70"/>
      <c r="E63" s="70"/>
      <c r="F63" s="70"/>
      <c r="G63" s="70"/>
      <c r="H63" s="70"/>
      <c r="I63" s="70"/>
      <c r="J63" s="70"/>
      <c r="K63" s="70"/>
      <c r="L63" s="70"/>
      <c r="M63" s="31"/>
      <c r="N63" s="57"/>
      <c r="O63" s="57"/>
      <c r="P63" s="57"/>
      <c r="Q63" s="57"/>
      <c r="R63" s="57"/>
      <c r="S63" s="57"/>
      <c r="T63" s="57"/>
      <c r="U63" s="57"/>
      <c r="V63" s="57"/>
      <c r="W63" s="57"/>
      <c r="X63" s="57"/>
      <c r="Y63" s="57"/>
      <c r="Z63" s="31"/>
    </row>
    <row r="64" spans="1:26" ht="0.75" customHeight="1">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7"/>
    </row>
    <row r="66" spans="1:26" ht="29.25" thickBot="1">
      <c r="A66" s="178" t="s">
        <v>151</v>
      </c>
      <c r="B66" s="178"/>
      <c r="C66" s="178"/>
      <c r="D66" s="178"/>
      <c r="E66" s="178"/>
      <c r="F66" s="178"/>
      <c r="G66" s="178"/>
      <c r="H66" s="44"/>
      <c r="I66" s="44"/>
      <c r="J66" s="44"/>
      <c r="K66" s="44"/>
      <c r="L66" s="44"/>
      <c r="M66" s="44"/>
      <c r="N66" s="44"/>
      <c r="O66" s="44"/>
      <c r="P66" s="44"/>
      <c r="Q66" s="44"/>
      <c r="R66" s="44"/>
      <c r="S66" s="44"/>
      <c r="T66" s="44"/>
      <c r="U66" s="44"/>
      <c r="V66" s="44"/>
      <c r="W66" s="44"/>
      <c r="X66" s="44"/>
      <c r="Y66" s="44"/>
      <c r="Z66" s="47"/>
    </row>
    <row r="67" spans="1:26" ht="15.75" thickTop="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7"/>
    </row>
    <row r="68" spans="1:26">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7"/>
    </row>
    <row r="69" spans="1:26">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7"/>
    </row>
    <row r="70" spans="1:26" ht="21">
      <c r="A70" s="63" t="s">
        <v>147</v>
      </c>
      <c r="B70" s="64"/>
      <c r="C70" s="64"/>
      <c r="D70" s="64"/>
      <c r="E70" s="64"/>
      <c r="F70" s="64"/>
      <c r="G70" s="64"/>
      <c r="H70" s="64"/>
      <c r="I70" s="64"/>
      <c r="J70" s="64"/>
      <c r="K70" s="64"/>
      <c r="L70" s="64"/>
      <c r="M70" s="44"/>
      <c r="N70" s="44"/>
      <c r="O70" s="44"/>
      <c r="P70" s="44"/>
      <c r="Q70" s="44"/>
      <c r="R70" s="44"/>
      <c r="S70" s="44"/>
      <c r="T70" s="44"/>
      <c r="U70" s="44"/>
      <c r="V70" s="44"/>
      <c r="W70" s="44"/>
      <c r="X70" s="44"/>
      <c r="Y70" s="44"/>
      <c r="Z70" s="47"/>
    </row>
    <row r="71" spans="1:26" ht="21">
      <c r="A71" s="64"/>
      <c r="B71" s="64"/>
      <c r="C71" s="64"/>
      <c r="D71" s="64"/>
      <c r="E71" s="64"/>
      <c r="F71" s="64"/>
      <c r="G71" s="64"/>
      <c r="H71" s="64"/>
      <c r="I71" s="64"/>
      <c r="J71" s="64"/>
      <c r="K71" s="64"/>
      <c r="L71" s="64"/>
      <c r="M71" s="44"/>
      <c r="N71" s="44"/>
      <c r="O71" s="44"/>
      <c r="P71" s="44"/>
      <c r="Q71" s="44"/>
      <c r="R71" s="44"/>
      <c r="S71" s="44"/>
      <c r="T71" s="44"/>
      <c r="U71" s="44"/>
      <c r="V71" s="44"/>
      <c r="W71" s="44"/>
      <c r="X71" s="44"/>
      <c r="Y71" s="44"/>
      <c r="Z71" s="47"/>
    </row>
    <row r="72" spans="1:26" ht="21">
      <c r="A72" s="65" t="s">
        <v>146</v>
      </c>
      <c r="B72" s="64"/>
      <c r="C72" s="64"/>
      <c r="D72" s="64"/>
      <c r="E72" s="64"/>
      <c r="F72" s="64"/>
      <c r="G72" s="64"/>
      <c r="H72" s="64"/>
      <c r="I72" s="64"/>
      <c r="J72" s="64"/>
      <c r="K72" s="64"/>
      <c r="L72" s="64"/>
      <c r="M72" s="44"/>
      <c r="N72" s="44"/>
      <c r="O72" s="44"/>
      <c r="P72" s="44"/>
      <c r="Q72" s="44"/>
      <c r="R72" s="44"/>
      <c r="S72" s="44"/>
      <c r="T72" s="44"/>
      <c r="U72" s="44"/>
      <c r="V72" s="44"/>
      <c r="W72" s="44"/>
      <c r="X72" s="44"/>
      <c r="Y72" s="44"/>
      <c r="Z72" s="47"/>
    </row>
    <row r="73" spans="1:26" ht="21">
      <c r="A73" s="64"/>
      <c r="B73" s="64"/>
      <c r="C73" s="64"/>
      <c r="D73" s="64"/>
      <c r="E73" s="64"/>
      <c r="F73" s="64"/>
      <c r="G73" s="64"/>
      <c r="H73" s="64"/>
      <c r="I73" s="64"/>
      <c r="J73" s="64"/>
      <c r="K73" s="64"/>
      <c r="L73" s="64"/>
      <c r="M73" s="44"/>
      <c r="N73" s="44"/>
      <c r="O73" s="44"/>
      <c r="P73" s="44"/>
      <c r="Q73" s="44"/>
      <c r="R73" s="44"/>
      <c r="S73" s="44"/>
      <c r="T73" s="44"/>
      <c r="U73" s="44"/>
      <c r="V73" s="44"/>
      <c r="W73" s="44"/>
      <c r="X73" s="44"/>
      <c r="Y73" s="44"/>
      <c r="Z73" s="47"/>
    </row>
    <row r="74" spans="1:26" ht="23.25">
      <c r="A74" s="66" t="s">
        <v>148</v>
      </c>
      <c r="B74" s="64"/>
      <c r="C74" s="64"/>
      <c r="D74" s="64"/>
      <c r="E74" s="64"/>
      <c r="F74" s="67" t="s">
        <v>149</v>
      </c>
      <c r="G74" s="64"/>
      <c r="H74" s="64"/>
      <c r="I74" s="64"/>
      <c r="J74" s="64"/>
      <c r="K74" s="64"/>
      <c r="L74" s="64"/>
      <c r="M74" s="44"/>
      <c r="N74" s="44"/>
      <c r="O74" s="44"/>
      <c r="P74" s="44"/>
      <c r="Q74" s="44"/>
      <c r="R74" s="44"/>
      <c r="S74" s="44"/>
      <c r="T74" s="44"/>
      <c r="U74" s="44"/>
      <c r="V74" s="44"/>
      <c r="W74" s="44"/>
      <c r="X74" s="44"/>
      <c r="Y74" s="44"/>
      <c r="Z74" s="47"/>
    </row>
    <row r="75" spans="1:26" ht="21">
      <c r="A75" s="64"/>
      <c r="B75" s="64"/>
      <c r="C75" s="64"/>
      <c r="D75" s="64"/>
      <c r="E75" s="64"/>
      <c r="F75" s="64"/>
      <c r="G75" s="64"/>
      <c r="H75" s="64"/>
      <c r="I75" s="64"/>
      <c r="J75" s="64"/>
      <c r="K75" s="64"/>
      <c r="L75" s="64"/>
      <c r="M75" s="44"/>
      <c r="N75" s="44"/>
      <c r="O75" s="44"/>
      <c r="P75" s="44"/>
      <c r="Q75" s="44"/>
      <c r="R75" s="44"/>
      <c r="S75" s="44"/>
      <c r="T75" s="44"/>
      <c r="U75" s="44"/>
      <c r="V75" s="44"/>
      <c r="W75" s="44"/>
      <c r="X75" s="44"/>
      <c r="Y75" s="44"/>
      <c r="Z75" s="47"/>
    </row>
    <row r="76" spans="1:26" ht="26.25">
      <c r="A76" s="68" t="s">
        <v>150</v>
      </c>
      <c r="B76" s="64"/>
      <c r="C76" s="64"/>
      <c r="D76" s="64"/>
      <c r="E76" s="64"/>
      <c r="F76" s="69" t="s">
        <v>140</v>
      </c>
      <c r="G76" s="64"/>
      <c r="H76" s="64"/>
      <c r="I76" s="64"/>
      <c r="J76" s="64"/>
      <c r="K76" s="64"/>
      <c r="L76" s="64"/>
      <c r="M76" s="44"/>
      <c r="N76" s="44"/>
      <c r="O76" s="44"/>
      <c r="P76" s="44"/>
      <c r="Q76" s="44"/>
      <c r="R76" s="44"/>
      <c r="S76" s="44"/>
      <c r="T76" s="44"/>
      <c r="U76" s="44"/>
      <c r="V76" s="44"/>
      <c r="W76" s="44"/>
      <c r="X76" s="44"/>
      <c r="Y76" s="44"/>
      <c r="Z76" s="47"/>
    </row>
    <row r="77" spans="1:26" ht="21">
      <c r="A77" s="64"/>
      <c r="B77" s="64"/>
      <c r="C77" s="64"/>
      <c r="D77" s="64"/>
      <c r="E77" s="64"/>
      <c r="F77" s="64"/>
      <c r="G77" s="64"/>
      <c r="H77" s="64"/>
      <c r="I77" s="64"/>
      <c r="J77" s="64"/>
      <c r="K77" s="64"/>
      <c r="L77" s="64"/>
      <c r="M77" s="44"/>
      <c r="N77" s="44"/>
      <c r="O77" s="44"/>
      <c r="P77" s="44"/>
      <c r="Q77" s="44"/>
      <c r="R77" s="44"/>
      <c r="S77" s="44"/>
      <c r="T77" s="44"/>
      <c r="U77" s="44"/>
      <c r="V77" s="44"/>
      <c r="W77" s="44"/>
      <c r="X77" s="44"/>
      <c r="Y77" s="44"/>
      <c r="Z77" s="47"/>
    </row>
    <row r="78" spans="1:26" ht="21">
      <c r="A78" s="64"/>
      <c r="B78" s="64"/>
      <c r="C78" s="64"/>
      <c r="D78" s="64"/>
      <c r="E78" s="64"/>
      <c r="F78" s="64"/>
      <c r="G78" s="64"/>
      <c r="H78" s="64"/>
      <c r="I78" s="64"/>
      <c r="J78" s="64"/>
      <c r="K78" s="64"/>
      <c r="L78" s="64"/>
      <c r="M78" s="44"/>
      <c r="N78" s="44"/>
      <c r="O78" s="44"/>
      <c r="P78" s="44"/>
      <c r="Q78" s="44"/>
      <c r="R78" s="44"/>
      <c r="S78" s="44"/>
      <c r="T78" s="44"/>
      <c r="U78" s="44"/>
      <c r="V78" s="44"/>
      <c r="W78" s="44"/>
      <c r="X78" s="44"/>
      <c r="Y78" s="44"/>
      <c r="Z78" s="47"/>
    </row>
    <row r="79" spans="1:26" ht="3.75" customHeight="1">
      <c r="A79" s="48"/>
      <c r="B79" s="48"/>
      <c r="C79" s="48"/>
      <c r="D79" s="48"/>
      <c r="E79" s="48"/>
      <c r="F79" s="48"/>
      <c r="G79" s="48"/>
      <c r="H79" s="48"/>
      <c r="I79" s="48"/>
      <c r="J79" s="48"/>
      <c r="K79" s="48"/>
      <c r="L79" s="48"/>
      <c r="M79" s="47"/>
      <c r="N79" s="47"/>
      <c r="O79" s="47"/>
      <c r="P79" s="47"/>
      <c r="Q79" s="47"/>
      <c r="R79" s="47"/>
      <c r="S79" s="47"/>
      <c r="T79" s="47"/>
      <c r="U79" s="47"/>
      <c r="V79" s="47"/>
      <c r="W79" s="47"/>
      <c r="X79" s="47"/>
      <c r="Y79" s="47"/>
      <c r="Z79" s="47"/>
    </row>
    <row r="80" spans="1:26" ht="21">
      <c r="A80" s="26"/>
      <c r="B80" s="26"/>
      <c r="C80" s="26"/>
      <c r="D80" s="26"/>
      <c r="E80" s="26"/>
      <c r="F80" s="26"/>
      <c r="G80" s="26"/>
      <c r="H80" s="26"/>
      <c r="I80" s="26"/>
      <c r="J80" s="26"/>
      <c r="K80" s="26"/>
      <c r="L80" s="26"/>
    </row>
    <row r="81" spans="1:12" ht="21">
      <c r="A81" s="26"/>
      <c r="B81" s="26"/>
      <c r="C81" s="26"/>
      <c r="D81" s="26"/>
      <c r="E81" s="26"/>
      <c r="F81" s="26"/>
      <c r="G81" s="26"/>
      <c r="H81" s="26"/>
      <c r="I81" s="26"/>
      <c r="J81" s="26"/>
      <c r="K81" s="26"/>
      <c r="L81" s="26"/>
    </row>
  </sheetData>
  <mergeCells count="54">
    <mergeCell ref="A66:G66"/>
    <mergeCell ref="N42:Y42"/>
    <mergeCell ref="T60:W61"/>
    <mergeCell ref="N60:S61"/>
    <mergeCell ref="N34:P34"/>
    <mergeCell ref="K49:L49"/>
    <mergeCell ref="K51:L51"/>
    <mergeCell ref="N40:V41"/>
    <mergeCell ref="Q35:Y35"/>
    <mergeCell ref="Q36:Y36"/>
    <mergeCell ref="Q34:Y34"/>
    <mergeCell ref="Q33:Y33"/>
    <mergeCell ref="N36:P36"/>
    <mergeCell ref="N35:P35"/>
    <mergeCell ref="T13:W13"/>
    <mergeCell ref="T14:W14"/>
    <mergeCell ref="T15:W15"/>
    <mergeCell ref="O16:W16"/>
    <mergeCell ref="N33:P33"/>
    <mergeCell ref="N26:W26"/>
    <mergeCell ref="N29:U29"/>
    <mergeCell ref="Q32:Y32"/>
    <mergeCell ref="Q31:Y31"/>
    <mergeCell ref="N30:P30"/>
    <mergeCell ref="Q30:Y30"/>
    <mergeCell ref="N32:P32"/>
    <mergeCell ref="N31:P31"/>
    <mergeCell ref="A26:G26"/>
    <mergeCell ref="A29:D29"/>
    <mergeCell ref="D13:K13"/>
    <mergeCell ref="O12:Q13"/>
    <mergeCell ref="O14:Q14"/>
    <mergeCell ref="O15:Q15"/>
    <mergeCell ref="A17:B17"/>
    <mergeCell ref="B19:B20"/>
    <mergeCell ref="A19:A20"/>
    <mergeCell ref="C19:D20"/>
    <mergeCell ref="C21:D21"/>
    <mergeCell ref="G1:S1"/>
    <mergeCell ref="O5:W5"/>
    <mergeCell ref="A9:K9"/>
    <mergeCell ref="A13:C13"/>
    <mergeCell ref="A15:L15"/>
    <mergeCell ref="A3:G3"/>
    <mergeCell ref="A8:K8"/>
    <mergeCell ref="A5:K5"/>
    <mergeCell ref="A6:K6"/>
    <mergeCell ref="R12:W12"/>
    <mergeCell ref="N6:Y7"/>
    <mergeCell ref="R15:S15"/>
    <mergeCell ref="R14:S14"/>
    <mergeCell ref="O8:Y8"/>
    <mergeCell ref="O9:Y9"/>
    <mergeCell ref="R13:S13"/>
  </mergeCells>
  <hyperlinks>
    <hyperlink ref="B11" r:id="rId1" xr:uid="{704488C7-3F20-402F-AA8B-FD6C92D96CBB}"/>
    <hyperlink ref="B23" r:id="rId2" display="https://www.kelwatt.fr/guide/energie/trv-tarifs-reglementes" xr:uid="{08B45F94-5821-471D-BBE5-BB39D4CB7883}"/>
    <hyperlink ref="N6" r:id="rId3" display="https://www.kelwatt.fr/prix/kwh-gaz" xr:uid="{961F7B1E-16F7-4089-9D30-48F0E7A8B01E}"/>
    <hyperlink ref="P18" r:id="rId4" display="https://www.kelwatt.fr/prix/gaz/repere-cre" xr:uid="{F232424F-61D0-428C-AEA5-C6642717748C}"/>
    <hyperlink ref="Q20" r:id="rId5" xr:uid="{C7EB6F82-2E60-4B46-9F7D-EF7A5AC69B3C}"/>
    <hyperlink ref="B59" r:id="rId6" location="choixcom" xr:uid="{3C3EC578-3649-4861-80DC-67C86EFD28D4}"/>
    <hyperlink ref="O38" r:id="rId7" xr:uid="{7693DBE2-A0D5-4684-89A4-B73AEA883DA9}"/>
    <hyperlink ref="O44" r:id="rId8" display="https://www.insee.fr/fr/statistiques/serie/001764286" xr:uid="{B2A370ED-A71D-4382-954F-29D584F6F0A9}"/>
    <hyperlink ref="O62" r:id="rId9" xr:uid="{D14254FF-AE2E-4BF2-B89B-8BE0166483C2}"/>
    <hyperlink ref="F74" r:id="rId10" xr:uid="{4BAECD77-49A4-46EB-B839-96E2A337774B}"/>
    <hyperlink ref="F76" r:id="rId11" display="https://www.insee.fr/fr/statistiques/serie/001765608" xr:uid="{CD05705A-EFE4-4E07-86B2-D947B926C326}"/>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F057-12A9-4BD2-8C83-43D247C6354B}">
  <dimension ref="A1:AR83"/>
  <sheetViews>
    <sheetView zoomScale="85" zoomScaleNormal="85" workbookViewId="0">
      <selection activeCell="Q27" sqref="Q27:S31"/>
    </sheetView>
  </sheetViews>
  <sheetFormatPr defaultRowHeight="15"/>
  <cols>
    <col min="3" max="3" width="9.140625" customWidth="1"/>
    <col min="4" max="4" width="11.85546875" customWidth="1"/>
    <col min="12" max="12" width="4.85546875" customWidth="1"/>
    <col min="15" max="15" width="14.7109375" customWidth="1"/>
    <col min="19" max="19" width="37.140625" customWidth="1"/>
  </cols>
  <sheetData>
    <row r="1" spans="1:44">
      <c r="A1" s="146"/>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c r="AP1" s="146"/>
      <c r="AQ1" s="146"/>
      <c r="AR1" s="146"/>
    </row>
    <row r="2" spans="1:44">
      <c r="A2" s="146"/>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146"/>
      <c r="AM2" s="146"/>
      <c r="AN2" s="146"/>
      <c r="AO2" s="146"/>
      <c r="AP2" s="146"/>
      <c r="AQ2" s="146"/>
      <c r="AR2" s="146"/>
    </row>
    <row r="3" spans="1:44">
      <c r="A3" s="146"/>
      <c r="B3" s="146"/>
      <c r="C3" s="146"/>
      <c r="D3" s="146"/>
      <c r="E3" s="146"/>
      <c r="F3" s="146"/>
      <c r="G3" s="146"/>
      <c r="H3" s="146"/>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146"/>
      <c r="AQ3" s="146"/>
      <c r="AR3" s="146"/>
    </row>
    <row r="4" spans="1:44">
      <c r="A4" s="146"/>
      <c r="B4" s="146"/>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row>
    <row r="5" spans="1:44">
      <c r="A5" s="146"/>
      <c r="B5" s="146"/>
      <c r="C5" s="146"/>
      <c r="D5" s="146"/>
      <c r="E5" s="146"/>
      <c r="F5" s="146"/>
      <c r="G5" s="146"/>
      <c r="H5" s="146"/>
      <c r="I5" s="146"/>
      <c r="J5" s="146"/>
      <c r="K5" s="146"/>
      <c r="L5" s="146"/>
      <c r="M5" s="146"/>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row>
    <row r="6" spans="1:44">
      <c r="A6" s="146"/>
      <c r="B6" s="146"/>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row>
    <row r="7" spans="1:44">
      <c r="A7" s="146"/>
      <c r="B7" s="146"/>
      <c r="C7" s="146"/>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row>
    <row r="8" spans="1:44">
      <c r="A8" s="146"/>
      <c r="B8" s="146"/>
      <c r="C8" s="146"/>
      <c r="D8" s="146"/>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c r="AO8" s="146"/>
      <c r="AP8" s="146"/>
      <c r="AQ8" s="146"/>
      <c r="AR8" s="146"/>
    </row>
    <row r="9" spans="1:44">
      <c r="A9" s="146"/>
      <c r="B9" s="146"/>
      <c r="C9" s="146"/>
      <c r="D9" s="146"/>
      <c r="E9" s="146"/>
      <c r="F9" s="146"/>
      <c r="G9" s="146"/>
      <c r="H9" s="146"/>
      <c r="I9" s="146"/>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46"/>
      <c r="AI9" s="146"/>
      <c r="AJ9" s="146"/>
      <c r="AK9" s="146"/>
      <c r="AL9" s="146"/>
      <c r="AM9" s="146"/>
      <c r="AN9" s="146"/>
      <c r="AO9" s="146"/>
      <c r="AP9" s="146"/>
      <c r="AQ9" s="146"/>
      <c r="AR9" s="146"/>
    </row>
    <row r="10" spans="1:44">
      <c r="A10" s="146"/>
      <c r="B10" s="146"/>
      <c r="C10" s="146"/>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c r="AE10" s="146"/>
      <c r="AF10" s="146"/>
      <c r="AG10" s="146"/>
      <c r="AH10" s="146"/>
      <c r="AI10" s="146"/>
      <c r="AJ10" s="146"/>
      <c r="AK10" s="146"/>
      <c r="AL10" s="146"/>
      <c r="AM10" s="146"/>
      <c r="AN10" s="146"/>
      <c r="AO10" s="146"/>
      <c r="AP10" s="146"/>
      <c r="AQ10" s="146"/>
      <c r="AR10" s="146"/>
    </row>
    <row r="11" spans="1:44">
      <c r="A11" s="146"/>
      <c r="B11" s="146"/>
      <c r="C11" s="146"/>
      <c r="D11" s="146"/>
      <c r="E11" s="146"/>
      <c r="F11" s="146"/>
      <c r="G11" s="146"/>
      <c r="H11" s="146"/>
      <c r="I11" s="146"/>
      <c r="J11" s="146"/>
      <c r="K11" s="146"/>
      <c r="L11" s="146"/>
      <c r="M11" s="146"/>
      <c r="N11" s="146"/>
      <c r="O11" s="146"/>
      <c r="P11" s="146"/>
      <c r="Q11" s="146"/>
      <c r="R11" s="146"/>
      <c r="S11" s="146"/>
      <c r="T11" s="146"/>
      <c r="U11" s="146"/>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row>
    <row r="12" spans="1:44">
      <c r="A12" s="146"/>
      <c r="B12" s="146"/>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row>
    <row r="13" spans="1:44">
      <c r="A13" s="146"/>
      <c r="B13" s="146"/>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row>
    <row r="14" spans="1:44">
      <c r="A14" s="146"/>
      <c r="B14" s="146"/>
      <c r="C14" s="146"/>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row>
    <row r="15" spans="1:44">
      <c r="A15" s="146"/>
      <c r="B15" s="146"/>
      <c r="C15" s="146"/>
      <c r="D15" s="146"/>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row>
    <row r="16" spans="1:44">
      <c r="A16" s="146"/>
      <c r="B16" s="146"/>
      <c r="C16" s="146"/>
      <c r="D16" s="146"/>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row>
    <row r="17" spans="1:44">
      <c r="A17" s="146"/>
      <c r="B17" s="146"/>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row>
    <row r="18" spans="1:44" ht="19.5">
      <c r="A18" s="193" t="s">
        <v>37</v>
      </c>
      <c r="B18" s="193"/>
      <c r="C18" s="193"/>
      <c r="D18" s="193"/>
      <c r="E18" s="193"/>
      <c r="F18" s="193"/>
      <c r="G18" s="193"/>
      <c r="H18" s="193"/>
      <c r="I18" s="193"/>
      <c r="J18" s="193"/>
      <c r="K18" s="193"/>
      <c r="L18" s="193"/>
      <c r="M18" s="193"/>
      <c r="N18" s="193"/>
      <c r="O18" s="193"/>
      <c r="P18" s="193"/>
      <c r="Q18" s="193"/>
      <c r="R18" s="193"/>
      <c r="S18" s="193"/>
    </row>
    <row r="19" spans="1:44" ht="41.25" customHeight="1">
      <c r="A19" s="185" t="s">
        <v>27</v>
      </c>
      <c r="B19" s="186"/>
      <c r="C19" s="185" t="s">
        <v>28</v>
      </c>
      <c r="D19" s="186"/>
      <c r="E19" s="91" t="s">
        <v>29</v>
      </c>
      <c r="F19" s="185" t="s">
        <v>30</v>
      </c>
      <c r="G19" s="194"/>
      <c r="H19" s="194"/>
      <c r="I19" s="194"/>
      <c r="J19" s="194"/>
      <c r="K19" s="194"/>
      <c r="L19" s="194"/>
      <c r="M19" s="194"/>
      <c r="N19" s="194"/>
      <c r="O19" s="194"/>
      <c r="P19" s="194"/>
      <c r="Q19" s="194"/>
      <c r="R19" s="194"/>
      <c r="S19" s="186"/>
    </row>
    <row r="20" spans="1:44" ht="53.25" customHeight="1">
      <c r="A20" s="185" t="s">
        <v>31</v>
      </c>
      <c r="B20" s="186"/>
      <c r="C20" s="189" t="s">
        <v>158</v>
      </c>
      <c r="D20" s="190"/>
      <c r="E20" s="92" t="s">
        <v>154</v>
      </c>
      <c r="F20" s="185" t="s">
        <v>162</v>
      </c>
      <c r="G20" s="194"/>
      <c r="H20" s="194"/>
      <c r="I20" s="194"/>
      <c r="J20" s="194"/>
      <c r="K20" s="194"/>
      <c r="L20" s="194"/>
      <c r="M20" s="194"/>
      <c r="N20" s="194"/>
      <c r="O20" s="194"/>
      <c r="P20" s="194"/>
      <c r="Q20" s="194"/>
      <c r="R20" s="194"/>
      <c r="S20" s="186"/>
    </row>
    <row r="21" spans="1:44" ht="48.75" customHeight="1">
      <c r="A21" s="185" t="s">
        <v>6</v>
      </c>
      <c r="B21" s="186"/>
      <c r="C21" s="189" t="s">
        <v>32</v>
      </c>
      <c r="D21" s="190"/>
      <c r="E21" s="92" t="s">
        <v>156</v>
      </c>
      <c r="F21" s="185" t="s">
        <v>159</v>
      </c>
      <c r="G21" s="194"/>
      <c r="H21" s="194"/>
      <c r="I21" s="194"/>
      <c r="J21" s="194"/>
      <c r="K21" s="194"/>
      <c r="L21" s="194"/>
      <c r="M21" s="194"/>
      <c r="N21" s="194"/>
      <c r="O21" s="194"/>
      <c r="P21" s="194"/>
      <c r="Q21" s="194"/>
      <c r="R21" s="194"/>
      <c r="S21" s="186"/>
    </row>
    <row r="22" spans="1:44" ht="50.25" customHeight="1">
      <c r="A22" s="185" t="s">
        <v>33</v>
      </c>
      <c r="B22" s="186"/>
      <c r="C22" s="191" t="s">
        <v>170</v>
      </c>
      <c r="D22" s="192"/>
      <c r="E22" s="92" t="s">
        <v>169</v>
      </c>
      <c r="F22" s="185" t="s">
        <v>160</v>
      </c>
      <c r="G22" s="194"/>
      <c r="H22" s="194"/>
      <c r="I22" s="194"/>
      <c r="J22" s="194"/>
      <c r="K22" s="194"/>
      <c r="L22" s="194"/>
      <c r="M22" s="194"/>
      <c r="N22" s="194"/>
      <c r="O22" s="194"/>
      <c r="P22" s="194"/>
      <c r="Q22" s="194"/>
      <c r="R22" s="194"/>
      <c r="S22" s="186"/>
    </row>
    <row r="23" spans="1:44" ht="51.75" customHeight="1">
      <c r="A23" s="185" t="s">
        <v>34</v>
      </c>
      <c r="B23" s="186"/>
      <c r="C23" s="189" t="s">
        <v>155</v>
      </c>
      <c r="D23" s="190"/>
      <c r="E23" s="92" t="s">
        <v>157</v>
      </c>
      <c r="F23" s="185" t="s">
        <v>161</v>
      </c>
      <c r="G23" s="194"/>
      <c r="H23" s="194"/>
      <c r="I23" s="194"/>
      <c r="J23" s="194"/>
      <c r="K23" s="194"/>
      <c r="L23" s="194"/>
      <c r="M23" s="194"/>
      <c r="N23" s="194"/>
      <c r="O23" s="194"/>
      <c r="P23" s="194"/>
      <c r="Q23" s="194"/>
      <c r="R23" s="194"/>
      <c r="S23" s="186"/>
    </row>
    <row r="24" spans="1:44" ht="49.5" customHeight="1">
      <c r="A24" s="187" t="s">
        <v>5</v>
      </c>
      <c r="B24" s="188"/>
      <c r="C24" s="189" t="s">
        <v>35</v>
      </c>
      <c r="D24" s="190"/>
      <c r="E24" s="93" t="s">
        <v>36</v>
      </c>
      <c r="F24" s="188" t="s">
        <v>163</v>
      </c>
      <c r="G24" s="188"/>
      <c r="H24" s="188"/>
      <c r="I24" s="188"/>
      <c r="J24" s="188"/>
      <c r="K24" s="188"/>
      <c r="L24" s="188"/>
      <c r="M24" s="188"/>
      <c r="N24" s="188"/>
      <c r="O24" s="188"/>
      <c r="P24" s="188"/>
      <c r="Q24" s="188"/>
      <c r="R24" s="188"/>
      <c r="S24" s="196"/>
    </row>
    <row r="25" spans="1:44" ht="20.25" thickBot="1">
      <c r="K25" s="197" t="s">
        <v>50</v>
      </c>
      <c r="L25" s="197"/>
      <c r="M25" s="197"/>
      <c r="N25" s="197"/>
      <c r="O25" s="197"/>
      <c r="P25" s="197"/>
      <c r="Q25" s="197"/>
      <c r="R25" s="197"/>
      <c r="S25" s="197"/>
    </row>
    <row r="26" spans="1:44" ht="45" customHeight="1" thickTop="1">
      <c r="K26" s="195" t="s">
        <v>27</v>
      </c>
      <c r="L26" s="195"/>
      <c r="M26" s="195" t="s">
        <v>48</v>
      </c>
      <c r="N26" s="195"/>
      <c r="O26" s="22" t="s">
        <v>38</v>
      </c>
      <c r="P26" s="22" t="s">
        <v>49</v>
      </c>
      <c r="Q26" s="195" t="s">
        <v>39</v>
      </c>
      <c r="R26" s="195"/>
      <c r="S26" s="195"/>
    </row>
    <row r="27" spans="1:44" ht="81.75" customHeight="1">
      <c r="K27" s="195" t="s">
        <v>31</v>
      </c>
      <c r="L27" s="195"/>
      <c r="M27" s="191" t="s">
        <v>164</v>
      </c>
      <c r="N27" s="191"/>
      <c r="O27" s="22" t="s">
        <v>40</v>
      </c>
      <c r="P27" s="21">
        <v>0.87860000000000005</v>
      </c>
      <c r="Q27" s="191" t="s">
        <v>41</v>
      </c>
      <c r="R27" s="191"/>
      <c r="S27" s="191"/>
    </row>
    <row r="28" spans="1:44" ht="78.75" customHeight="1">
      <c r="K28" s="195" t="s">
        <v>34</v>
      </c>
      <c r="L28" s="195"/>
      <c r="M28" s="191" t="s">
        <v>47</v>
      </c>
      <c r="N28" s="191"/>
      <c r="O28" s="21">
        <v>5.4999999999999997E-3</v>
      </c>
      <c r="P28" s="22">
        <v>0.93230000000000002</v>
      </c>
      <c r="Q28" s="191" t="s">
        <v>42</v>
      </c>
      <c r="R28" s="191"/>
      <c r="S28" s="191"/>
    </row>
    <row r="29" spans="1:44" ht="72.75" customHeight="1">
      <c r="K29" s="195" t="s">
        <v>33</v>
      </c>
      <c r="L29" s="195"/>
      <c r="M29" s="191" t="s">
        <v>46</v>
      </c>
      <c r="N29" s="191"/>
      <c r="O29" s="21">
        <v>7.4999999999999997E-3</v>
      </c>
      <c r="P29" s="21">
        <v>0.67910000000000004</v>
      </c>
      <c r="Q29" s="191" t="s">
        <v>43</v>
      </c>
      <c r="R29" s="191"/>
      <c r="S29" s="191"/>
    </row>
    <row r="30" spans="1:44" ht="81.75" customHeight="1">
      <c r="K30" s="195" t="s">
        <v>5</v>
      </c>
      <c r="L30" s="195"/>
      <c r="M30" s="191" t="s">
        <v>51</v>
      </c>
      <c r="N30" s="191"/>
      <c r="O30" s="21">
        <v>4.4999999999999997E-3</v>
      </c>
      <c r="P30" s="21">
        <v>0.53449999999999998</v>
      </c>
      <c r="Q30" s="191" t="s">
        <v>44</v>
      </c>
      <c r="R30" s="191"/>
      <c r="S30" s="191"/>
    </row>
    <row r="31" spans="1:44" ht="66.75" customHeight="1" thickBot="1">
      <c r="K31" s="195" t="s">
        <v>6</v>
      </c>
      <c r="L31" s="195"/>
      <c r="M31" s="191" t="s">
        <v>52</v>
      </c>
      <c r="N31" s="191"/>
      <c r="O31" s="21">
        <v>5.7000000000000002E-3</v>
      </c>
      <c r="P31" s="21">
        <v>0.70689999999999997</v>
      </c>
      <c r="Q31" s="191" t="s">
        <v>45</v>
      </c>
      <c r="R31" s="191"/>
      <c r="S31" s="191"/>
    </row>
    <row r="32" spans="1:44">
      <c r="B32" s="46" t="s">
        <v>165</v>
      </c>
      <c r="C32" s="46" t="s">
        <v>167</v>
      </c>
      <c r="D32" s="46" t="s">
        <v>168</v>
      </c>
      <c r="E32" s="46" t="s">
        <v>165</v>
      </c>
      <c r="F32" s="46" t="s">
        <v>167</v>
      </c>
      <c r="G32" s="46" t="s">
        <v>168</v>
      </c>
    </row>
    <row r="33" spans="2:7">
      <c r="B33" s="94">
        <v>0.06</v>
      </c>
      <c r="C33">
        <v>0</v>
      </c>
      <c r="D33" s="95">
        <v>0</v>
      </c>
      <c r="E33" s="94" t="s">
        <v>166</v>
      </c>
      <c r="F33">
        <v>9</v>
      </c>
      <c r="G33" s="95">
        <v>1</v>
      </c>
    </row>
    <row r="34" spans="2:7">
      <c r="B34" s="94">
        <v>0.06</v>
      </c>
      <c r="C34">
        <v>0</v>
      </c>
      <c r="D34" s="95">
        <v>0</v>
      </c>
      <c r="E34" s="94">
        <v>0.06</v>
      </c>
      <c r="F34">
        <v>0</v>
      </c>
      <c r="G34" s="95">
        <v>1</v>
      </c>
    </row>
    <row r="35" spans="2:7">
      <c r="B35" s="94">
        <v>6.0999999999999999E-2</v>
      </c>
      <c r="C35">
        <v>0</v>
      </c>
      <c r="D35" s="95">
        <v>0</v>
      </c>
      <c r="E35" s="94">
        <v>0.06</v>
      </c>
      <c r="F35">
        <v>0</v>
      </c>
      <c r="G35" s="95">
        <v>1</v>
      </c>
    </row>
    <row r="36" spans="2:7">
      <c r="B36" s="94">
        <v>6.0999999999999999E-2</v>
      </c>
      <c r="C36">
        <v>0</v>
      </c>
      <c r="D36" s="95">
        <v>0</v>
      </c>
      <c r="E36" s="94">
        <v>6.0999999999999999E-2</v>
      </c>
      <c r="F36">
        <v>0</v>
      </c>
      <c r="G36" s="95">
        <v>1</v>
      </c>
    </row>
    <row r="37" spans="2:7">
      <c r="B37" s="94">
        <v>6.4000000000000001E-2</v>
      </c>
      <c r="C37">
        <v>0</v>
      </c>
      <c r="D37" s="95">
        <v>0</v>
      </c>
      <c r="E37" s="94">
        <v>6.0999999999999999E-2</v>
      </c>
      <c r="F37">
        <v>0</v>
      </c>
      <c r="G37" s="95">
        <v>1</v>
      </c>
    </row>
    <row r="38" spans="2:7">
      <c r="B38" s="94">
        <v>6.5000000000000002E-2</v>
      </c>
      <c r="C38">
        <v>0</v>
      </c>
      <c r="D38" s="95">
        <v>0</v>
      </c>
      <c r="E38" s="94">
        <v>6.4000000000000001E-2</v>
      </c>
      <c r="F38">
        <v>0</v>
      </c>
      <c r="G38" s="95">
        <v>1</v>
      </c>
    </row>
    <row r="39" spans="2:7">
      <c r="B39" s="94">
        <v>6.5000000000000002E-2</v>
      </c>
      <c r="C39">
        <v>0</v>
      </c>
      <c r="D39" s="95">
        <v>0</v>
      </c>
      <c r="E39" s="94">
        <v>6.5000000000000002E-2</v>
      </c>
      <c r="F39">
        <v>0</v>
      </c>
      <c r="G39" s="95">
        <v>1</v>
      </c>
    </row>
    <row r="40" spans="2:7">
      <c r="B40" s="94">
        <v>6.6000000000000003E-2</v>
      </c>
      <c r="C40">
        <v>0</v>
      </c>
      <c r="D40" s="95">
        <v>0</v>
      </c>
      <c r="E40" s="94">
        <v>6.5000000000000002E-2</v>
      </c>
      <c r="F40">
        <v>0</v>
      </c>
      <c r="G40" s="95">
        <v>1</v>
      </c>
    </row>
    <row r="41" spans="2:7">
      <c r="B41" s="94">
        <v>6.7000000000000004E-2</v>
      </c>
      <c r="C41">
        <v>0</v>
      </c>
      <c r="D41" s="95">
        <v>0</v>
      </c>
      <c r="E41" s="94">
        <v>6.6000000000000003E-2</v>
      </c>
      <c r="F41">
        <v>0</v>
      </c>
      <c r="G41" s="95">
        <v>1</v>
      </c>
    </row>
    <row r="42" spans="2:7">
      <c r="B42" s="94">
        <v>6.7000000000000004E-2</v>
      </c>
      <c r="C42">
        <v>0</v>
      </c>
      <c r="D42" s="95">
        <v>0</v>
      </c>
      <c r="E42" s="94">
        <v>6.7000000000000004E-2</v>
      </c>
      <c r="F42">
        <v>0</v>
      </c>
      <c r="G42" s="95">
        <v>1</v>
      </c>
    </row>
    <row r="43" spans="2:7">
      <c r="B43" s="94">
        <v>7.0999999999999994E-2</v>
      </c>
      <c r="C43">
        <v>0</v>
      </c>
      <c r="D43" s="95">
        <v>0</v>
      </c>
      <c r="E43" s="94">
        <v>6.7000000000000004E-2</v>
      </c>
      <c r="F43">
        <v>0</v>
      </c>
      <c r="G43" s="95">
        <v>1</v>
      </c>
    </row>
    <row r="44" spans="2:7">
      <c r="B44" s="94">
        <v>7.1999999999999995E-2</v>
      </c>
      <c r="C44">
        <v>0</v>
      </c>
      <c r="D44" s="95">
        <v>0</v>
      </c>
      <c r="E44" s="94">
        <v>7.0999999999999994E-2</v>
      </c>
      <c r="F44">
        <v>0</v>
      </c>
      <c r="G44" s="95">
        <v>1</v>
      </c>
    </row>
    <row r="45" spans="2:7">
      <c r="B45" s="94">
        <v>7.2999999999999995E-2</v>
      </c>
      <c r="C45">
        <v>0</v>
      </c>
      <c r="D45" s="95">
        <v>0</v>
      </c>
      <c r="E45" s="94">
        <v>7.1999999999999995E-2</v>
      </c>
      <c r="F45">
        <v>0</v>
      </c>
      <c r="G45" s="95">
        <v>1</v>
      </c>
    </row>
    <row r="46" spans="2:7">
      <c r="B46" s="94">
        <v>7.2999999999999995E-2</v>
      </c>
      <c r="C46">
        <v>0</v>
      </c>
      <c r="D46" s="95">
        <v>0</v>
      </c>
      <c r="E46" s="94">
        <v>7.2999999999999995E-2</v>
      </c>
      <c r="F46">
        <v>0</v>
      </c>
      <c r="G46" s="95">
        <v>1</v>
      </c>
    </row>
    <row r="47" spans="2:7">
      <c r="B47" s="94">
        <v>7.3999999999999996E-2</v>
      </c>
      <c r="C47">
        <v>0</v>
      </c>
      <c r="D47" s="95">
        <v>0</v>
      </c>
      <c r="E47" s="94">
        <v>7.2999999999999995E-2</v>
      </c>
      <c r="F47">
        <v>0</v>
      </c>
      <c r="G47" s="95">
        <v>1</v>
      </c>
    </row>
    <row r="48" spans="2:7">
      <c r="B48" s="94">
        <v>7.5999999999999998E-2</v>
      </c>
      <c r="C48">
        <v>0</v>
      </c>
      <c r="D48" s="95">
        <v>0</v>
      </c>
      <c r="E48" s="94">
        <v>7.3999999999999996E-2</v>
      </c>
      <c r="F48">
        <v>0</v>
      </c>
      <c r="G48" s="95">
        <v>1</v>
      </c>
    </row>
    <row r="49" spans="2:7">
      <c r="B49" s="94">
        <v>7.8E-2</v>
      </c>
      <c r="C49">
        <v>0</v>
      </c>
      <c r="D49" s="95">
        <v>0</v>
      </c>
      <c r="E49" s="94">
        <v>7.5999999999999998E-2</v>
      </c>
      <c r="F49">
        <v>0</v>
      </c>
      <c r="G49" s="95">
        <v>1</v>
      </c>
    </row>
    <row r="50" spans="2:7">
      <c r="B50" s="94">
        <v>7.9000000000000001E-2</v>
      </c>
      <c r="C50">
        <v>0</v>
      </c>
      <c r="D50" s="95">
        <v>0</v>
      </c>
      <c r="E50" s="94">
        <v>7.8E-2</v>
      </c>
      <c r="F50">
        <v>0</v>
      </c>
      <c r="G50" s="95">
        <v>1</v>
      </c>
    </row>
    <row r="51" spans="2:7">
      <c r="B51" s="94">
        <v>7.9000000000000001E-2</v>
      </c>
      <c r="C51">
        <v>0</v>
      </c>
      <c r="D51" s="95">
        <v>0</v>
      </c>
      <c r="E51" s="94">
        <v>7.9000000000000001E-2</v>
      </c>
      <c r="F51">
        <v>0</v>
      </c>
      <c r="G51" s="95">
        <v>1</v>
      </c>
    </row>
    <row r="52" spans="2:7">
      <c r="B52" s="94">
        <v>9.0999999999999998E-2</v>
      </c>
      <c r="C52">
        <v>0</v>
      </c>
      <c r="D52" s="95">
        <v>0</v>
      </c>
      <c r="E52" s="94">
        <v>7.9000000000000001E-2</v>
      </c>
      <c r="F52">
        <v>0</v>
      </c>
      <c r="G52" s="95">
        <v>1</v>
      </c>
    </row>
    <row r="53" spans="2:7">
      <c r="B53" s="94">
        <v>9.2999999999999999E-2</v>
      </c>
      <c r="C53">
        <v>0</v>
      </c>
      <c r="D53" s="95">
        <v>0</v>
      </c>
      <c r="E53" s="94">
        <v>9.0999999999999998E-2</v>
      </c>
      <c r="F53">
        <v>0</v>
      </c>
      <c r="G53" s="95">
        <v>1</v>
      </c>
    </row>
    <row r="54" spans="2:7">
      <c r="B54" s="94">
        <v>9.2999999999999999E-2</v>
      </c>
      <c r="C54">
        <v>0</v>
      </c>
      <c r="D54" s="95">
        <v>0</v>
      </c>
      <c r="E54" s="94">
        <v>9.2999999999999999E-2</v>
      </c>
      <c r="F54">
        <v>0</v>
      </c>
      <c r="G54" s="95">
        <v>1</v>
      </c>
    </row>
    <row r="55" spans="2:7">
      <c r="B55" s="94">
        <v>9.5000000000000001E-2</v>
      </c>
      <c r="C55">
        <v>0</v>
      </c>
      <c r="D55" s="95">
        <v>0</v>
      </c>
      <c r="E55" s="94">
        <v>9.2999999999999999E-2</v>
      </c>
      <c r="F55">
        <v>0</v>
      </c>
      <c r="G55" s="95">
        <v>1</v>
      </c>
    </row>
    <row r="56" spans="2:7">
      <c r="B56" s="94">
        <v>0.106</v>
      </c>
      <c r="C56">
        <v>0</v>
      </c>
      <c r="D56" s="95">
        <v>0</v>
      </c>
      <c r="E56" s="94">
        <v>9.5000000000000001E-2</v>
      </c>
      <c r="F56">
        <v>0</v>
      </c>
      <c r="G56" s="95">
        <v>1</v>
      </c>
    </row>
    <row r="57" spans="2:7">
      <c r="B57" s="94">
        <v>0.107</v>
      </c>
      <c r="C57">
        <v>0</v>
      </c>
      <c r="D57" s="95">
        <v>0</v>
      </c>
      <c r="E57" s="94">
        <v>0.106</v>
      </c>
      <c r="F57">
        <v>0</v>
      </c>
      <c r="G57" s="95">
        <v>1</v>
      </c>
    </row>
    <row r="58" spans="2:7">
      <c r="B58" s="94">
        <v>0.111</v>
      </c>
      <c r="C58">
        <v>0</v>
      </c>
      <c r="D58" s="95">
        <v>0</v>
      </c>
      <c r="E58" s="94">
        <v>0.107</v>
      </c>
      <c r="F58">
        <v>0</v>
      </c>
      <c r="G58" s="95">
        <v>1</v>
      </c>
    </row>
    <row r="59" spans="2:7">
      <c r="B59" s="94">
        <v>0.11799999999999999</v>
      </c>
      <c r="C59">
        <v>0</v>
      </c>
      <c r="D59" s="95">
        <v>0</v>
      </c>
      <c r="E59" s="94">
        <v>0.111</v>
      </c>
      <c r="F59">
        <v>0</v>
      </c>
      <c r="G59" s="95">
        <v>1</v>
      </c>
    </row>
    <row r="60" spans="2:7">
      <c r="B60" s="94">
        <v>0.123</v>
      </c>
      <c r="C60">
        <v>0</v>
      </c>
      <c r="D60" s="95">
        <v>0</v>
      </c>
      <c r="E60" s="94">
        <v>0.11799999999999999</v>
      </c>
      <c r="F60">
        <v>0</v>
      </c>
      <c r="G60" s="95">
        <v>1</v>
      </c>
    </row>
    <row r="61" spans="2:7">
      <c r="B61" s="94">
        <v>0.126</v>
      </c>
      <c r="C61">
        <v>0</v>
      </c>
      <c r="D61" s="95">
        <v>0</v>
      </c>
      <c r="E61" s="94">
        <v>0.123</v>
      </c>
      <c r="F61">
        <v>0</v>
      </c>
      <c r="G61" s="95">
        <v>1</v>
      </c>
    </row>
    <row r="62" spans="2:7">
      <c r="B62" s="94">
        <v>0.127</v>
      </c>
      <c r="C62">
        <v>0</v>
      </c>
      <c r="D62" s="95">
        <v>0</v>
      </c>
      <c r="E62" s="94">
        <v>0.126</v>
      </c>
      <c r="F62">
        <v>0</v>
      </c>
      <c r="G62" s="95">
        <v>1</v>
      </c>
    </row>
    <row r="63" spans="2:7">
      <c r="B63" s="94">
        <v>0.129</v>
      </c>
      <c r="C63">
        <v>0</v>
      </c>
      <c r="D63" s="95">
        <v>0</v>
      </c>
      <c r="E63" s="94">
        <v>0.127</v>
      </c>
      <c r="F63">
        <v>0</v>
      </c>
      <c r="G63" s="95">
        <v>1</v>
      </c>
    </row>
    <row r="64" spans="2:7">
      <c r="B64" s="94">
        <v>0.13200000000000001</v>
      </c>
      <c r="C64">
        <v>0</v>
      </c>
      <c r="D64" s="95">
        <v>0</v>
      </c>
      <c r="E64" s="94">
        <v>0.129</v>
      </c>
      <c r="F64">
        <v>0</v>
      </c>
      <c r="G64" s="95">
        <v>1</v>
      </c>
    </row>
    <row r="65" spans="2:7">
      <c r="B65" s="94">
        <v>0.14199999999999999</v>
      </c>
      <c r="C65">
        <v>0</v>
      </c>
      <c r="D65" s="95">
        <v>0</v>
      </c>
      <c r="E65" s="94">
        <v>0.13200000000000001</v>
      </c>
      <c r="F65">
        <v>0</v>
      </c>
      <c r="G65" s="95">
        <v>1</v>
      </c>
    </row>
    <row r="66" spans="2:7">
      <c r="B66" s="94">
        <v>0.14299999999999999</v>
      </c>
      <c r="C66">
        <v>0</v>
      </c>
      <c r="D66" s="95">
        <v>0</v>
      </c>
      <c r="E66" s="94">
        <v>0.14199999999999999</v>
      </c>
      <c r="F66">
        <v>0</v>
      </c>
      <c r="G66" s="95">
        <v>1</v>
      </c>
    </row>
    <row r="67" spans="2:7">
      <c r="B67" s="94">
        <v>0.14499999999999999</v>
      </c>
      <c r="C67">
        <v>0</v>
      </c>
      <c r="D67" s="95">
        <v>0</v>
      </c>
      <c r="E67" s="94">
        <v>0.14299999999999999</v>
      </c>
      <c r="F67">
        <v>0</v>
      </c>
      <c r="G67" s="95">
        <v>1</v>
      </c>
    </row>
    <row r="68" spans="2:7">
      <c r="B68" s="94">
        <v>0.14899999999999999</v>
      </c>
      <c r="C68">
        <v>0</v>
      </c>
      <c r="D68" s="95">
        <v>0</v>
      </c>
      <c r="E68" s="94">
        <v>0.14499999999999999</v>
      </c>
      <c r="F68">
        <v>0</v>
      </c>
      <c r="G68" s="95">
        <v>1</v>
      </c>
    </row>
    <row r="69" spans="2:7">
      <c r="B69" s="94">
        <v>0.14899999999999999</v>
      </c>
      <c r="C69">
        <v>0</v>
      </c>
      <c r="D69" s="95">
        <v>0</v>
      </c>
      <c r="E69" s="94">
        <v>0.14899999999999999</v>
      </c>
      <c r="F69">
        <v>0</v>
      </c>
      <c r="G69" s="95">
        <v>1</v>
      </c>
    </row>
    <row r="70" spans="2:7">
      <c r="B70" s="94">
        <v>0.16</v>
      </c>
      <c r="C70">
        <v>0</v>
      </c>
      <c r="D70" s="95">
        <v>0</v>
      </c>
      <c r="E70" s="94">
        <v>0.14899999999999999</v>
      </c>
      <c r="F70">
        <v>0</v>
      </c>
      <c r="G70" s="95">
        <v>1</v>
      </c>
    </row>
    <row r="71" spans="2:7">
      <c r="B71" s="94">
        <v>0.16600000000000001</v>
      </c>
      <c r="C71">
        <v>0</v>
      </c>
      <c r="D71" s="95">
        <v>0</v>
      </c>
      <c r="E71" s="94">
        <v>0.16</v>
      </c>
      <c r="F71">
        <v>0</v>
      </c>
      <c r="G71" s="95">
        <v>1</v>
      </c>
    </row>
    <row r="72" spans="2:7">
      <c r="B72" s="94">
        <v>0.17</v>
      </c>
      <c r="C72">
        <v>0</v>
      </c>
      <c r="D72" s="95">
        <v>0</v>
      </c>
      <c r="E72" s="94">
        <v>0.16600000000000001</v>
      </c>
      <c r="F72">
        <v>0</v>
      </c>
      <c r="G72" s="95">
        <v>1</v>
      </c>
    </row>
    <row r="73" spans="2:7">
      <c r="B73" s="94">
        <v>0.17</v>
      </c>
      <c r="C73">
        <v>0</v>
      </c>
      <c r="D73" s="95">
        <v>0</v>
      </c>
      <c r="E73" s="94">
        <v>0.17</v>
      </c>
      <c r="F73">
        <v>0</v>
      </c>
      <c r="G73" s="95">
        <v>1</v>
      </c>
    </row>
    <row r="74" spans="2:7">
      <c r="B74" s="94">
        <v>0.17199999999999999</v>
      </c>
      <c r="C74">
        <v>0</v>
      </c>
      <c r="D74" s="95">
        <v>0</v>
      </c>
      <c r="E74" s="94">
        <v>0.17</v>
      </c>
      <c r="F74">
        <v>0</v>
      </c>
      <c r="G74" s="95">
        <v>1</v>
      </c>
    </row>
    <row r="75" spans="2:7">
      <c r="B75" s="94">
        <v>0.17299999999999999</v>
      </c>
      <c r="C75">
        <v>0</v>
      </c>
      <c r="D75" s="95">
        <v>0</v>
      </c>
      <c r="E75" s="94">
        <v>0.17199999999999999</v>
      </c>
      <c r="F75">
        <v>0</v>
      </c>
      <c r="G75" s="95">
        <v>1</v>
      </c>
    </row>
    <row r="76" spans="2:7">
      <c r="B76" s="94">
        <v>0.17699999999999999</v>
      </c>
      <c r="C76">
        <v>0</v>
      </c>
      <c r="D76" s="95">
        <v>0</v>
      </c>
      <c r="E76" s="94">
        <v>0.17299999999999999</v>
      </c>
      <c r="F76">
        <v>0</v>
      </c>
      <c r="G76" s="95">
        <v>1</v>
      </c>
    </row>
    <row r="77" spans="2:7">
      <c r="B77" s="94">
        <v>0.185</v>
      </c>
      <c r="C77">
        <v>0</v>
      </c>
      <c r="D77" s="95">
        <v>0</v>
      </c>
      <c r="E77" s="94">
        <v>0.17699999999999999</v>
      </c>
      <c r="F77">
        <v>0</v>
      </c>
      <c r="G77" s="95">
        <v>1</v>
      </c>
    </row>
    <row r="78" spans="2:7">
      <c r="B78" s="94">
        <v>0.19400000000000001</v>
      </c>
      <c r="C78">
        <v>0</v>
      </c>
      <c r="D78" s="95">
        <v>0</v>
      </c>
      <c r="E78" s="94">
        <v>0.185</v>
      </c>
      <c r="F78">
        <v>0</v>
      </c>
      <c r="G78" s="95">
        <v>1</v>
      </c>
    </row>
    <row r="79" spans="2:7">
      <c r="B79" s="94">
        <v>0.19800000000000001</v>
      </c>
      <c r="C79">
        <v>0</v>
      </c>
      <c r="D79" s="95">
        <v>0</v>
      </c>
      <c r="E79" s="94">
        <v>0.19400000000000001</v>
      </c>
      <c r="F79">
        <v>0</v>
      </c>
      <c r="G79" s="95">
        <v>1</v>
      </c>
    </row>
    <row r="80" spans="2:7">
      <c r="B80" s="94">
        <v>0.215</v>
      </c>
      <c r="C80">
        <v>0</v>
      </c>
      <c r="D80" s="95">
        <v>0</v>
      </c>
      <c r="E80" s="94">
        <v>0.19800000000000001</v>
      </c>
      <c r="F80">
        <v>0</v>
      </c>
      <c r="G80" s="95">
        <v>1</v>
      </c>
    </row>
    <row r="81" spans="2:7">
      <c r="B81" s="94">
        <v>0.245</v>
      </c>
      <c r="C81">
        <v>0</v>
      </c>
      <c r="D81" s="95">
        <v>0</v>
      </c>
      <c r="E81" s="94">
        <v>0.215</v>
      </c>
      <c r="F81">
        <v>0</v>
      </c>
      <c r="G81" s="95">
        <v>1</v>
      </c>
    </row>
    <row r="82" spans="2:7">
      <c r="B82" s="94">
        <v>0.252</v>
      </c>
      <c r="C82">
        <v>0</v>
      </c>
      <c r="D82" s="95">
        <v>0</v>
      </c>
      <c r="E82" s="94">
        <v>0.245</v>
      </c>
      <c r="F82">
        <v>0</v>
      </c>
      <c r="G82" s="95">
        <v>1</v>
      </c>
    </row>
    <row r="83" spans="2:7" ht="15.75" thickBot="1">
      <c r="B83" s="45" t="s">
        <v>166</v>
      </c>
      <c r="C83" s="45">
        <v>9</v>
      </c>
      <c r="D83" s="96">
        <v>1</v>
      </c>
      <c r="E83" s="97">
        <v>0.252</v>
      </c>
      <c r="F83" s="45">
        <v>0</v>
      </c>
      <c r="G83" s="96">
        <v>1</v>
      </c>
    </row>
  </sheetData>
  <sortState xmlns:xlrd2="http://schemas.microsoft.com/office/spreadsheetml/2017/richdata2" ref="E33:F83">
    <sortCondition descending="1" ref="F33"/>
  </sortState>
  <mergeCells count="39">
    <mergeCell ref="F21:S21"/>
    <mergeCell ref="F22:S22"/>
    <mergeCell ref="F24:S24"/>
    <mergeCell ref="F23:S23"/>
    <mergeCell ref="K26:L26"/>
    <mergeCell ref="M28:N28"/>
    <mergeCell ref="K25:S25"/>
    <mergeCell ref="K31:L31"/>
    <mergeCell ref="K30:L30"/>
    <mergeCell ref="K29:L29"/>
    <mergeCell ref="K28:L28"/>
    <mergeCell ref="K27:L27"/>
    <mergeCell ref="M31:N31"/>
    <mergeCell ref="Q28:S28"/>
    <mergeCell ref="Q31:S31"/>
    <mergeCell ref="M26:N26"/>
    <mergeCell ref="M27:N27"/>
    <mergeCell ref="Q27:S27"/>
    <mergeCell ref="Q26:S26"/>
    <mergeCell ref="Q29:S29"/>
    <mergeCell ref="Q30:S30"/>
    <mergeCell ref="M29:N29"/>
    <mergeCell ref="M30:N30"/>
    <mergeCell ref="A21:B21"/>
    <mergeCell ref="A24:B24"/>
    <mergeCell ref="A22:B22"/>
    <mergeCell ref="A1:AR17"/>
    <mergeCell ref="A19:B19"/>
    <mergeCell ref="A20:B20"/>
    <mergeCell ref="A23:B23"/>
    <mergeCell ref="C21:D21"/>
    <mergeCell ref="C22:D22"/>
    <mergeCell ref="A18:S18"/>
    <mergeCell ref="C19:D19"/>
    <mergeCell ref="C20:D20"/>
    <mergeCell ref="C23:D23"/>
    <mergeCell ref="C24:D24"/>
    <mergeCell ref="F19:S19"/>
    <mergeCell ref="F20:S2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36A13-D21F-489E-B517-600FA0C6E820}">
  <dimension ref="A1:R82"/>
  <sheetViews>
    <sheetView tabSelected="1" zoomScale="85" zoomScaleNormal="85" workbookViewId="0">
      <selection activeCell="F17" sqref="F17"/>
    </sheetView>
  </sheetViews>
  <sheetFormatPr defaultRowHeight="15"/>
  <cols>
    <col min="1" max="1" width="9.140625" customWidth="1"/>
    <col min="2" max="2" width="8" customWidth="1"/>
    <col min="3" max="3" width="10.7109375" style="23" customWidth="1"/>
    <col min="4" max="4" width="13.42578125" customWidth="1"/>
    <col min="5" max="5" width="14.42578125" style="98" customWidth="1"/>
    <col min="6" max="6" width="18.7109375" style="12" customWidth="1"/>
    <col min="7" max="7" width="12.42578125" customWidth="1"/>
    <col min="8" max="8" width="12" style="12" customWidth="1"/>
    <col min="10" max="10" width="11.140625" style="12" customWidth="1"/>
    <col min="11" max="11" width="10.7109375" customWidth="1"/>
    <col min="12" max="12" width="12" customWidth="1"/>
    <col min="13" max="13" width="12.5703125" customWidth="1"/>
    <col min="14" max="14" width="18.7109375" customWidth="1"/>
    <col min="15" max="15" width="10.42578125" customWidth="1"/>
    <col min="16" max="16" width="11" customWidth="1"/>
    <col min="17" max="17" width="10.7109375" customWidth="1"/>
  </cols>
  <sheetData>
    <row r="1" spans="3:18">
      <c r="C1"/>
      <c r="E1"/>
      <c r="F1"/>
      <c r="H1"/>
      <c r="J1"/>
    </row>
    <row r="2" spans="3:18" ht="20.25" thickBot="1">
      <c r="C2"/>
      <c r="D2" s="197" t="s">
        <v>171</v>
      </c>
      <c r="E2" s="197"/>
      <c r="F2" s="197"/>
      <c r="G2" s="197"/>
      <c r="H2" s="197"/>
      <c r="I2" s="197"/>
      <c r="J2" s="197"/>
      <c r="K2" s="197"/>
      <c r="L2" s="197"/>
      <c r="M2" s="197"/>
    </row>
    <row r="3" spans="3:18" ht="15.75" thickTop="1">
      <c r="C3"/>
      <c r="E3"/>
      <c r="F3"/>
      <c r="H3"/>
      <c r="J3"/>
    </row>
    <row r="4" spans="3:18">
      <c r="C4" s="198" t="s">
        <v>172</v>
      </c>
      <c r="D4" s="198"/>
      <c r="E4" s="198"/>
      <c r="F4" s="198"/>
      <c r="G4" s="198"/>
      <c r="H4" s="198"/>
      <c r="I4" s="198"/>
      <c r="J4" s="198"/>
      <c r="K4" s="198"/>
      <c r="L4" s="198"/>
      <c r="M4" s="198"/>
      <c r="N4" s="198"/>
      <c r="O4" s="198"/>
      <c r="P4" s="198"/>
      <c r="Q4" s="198"/>
      <c r="R4" s="198"/>
    </row>
    <row r="5" spans="3:18">
      <c r="C5" s="198" t="s">
        <v>173</v>
      </c>
      <c r="D5" s="198"/>
      <c r="E5" s="198"/>
      <c r="F5" s="198"/>
      <c r="G5" s="198"/>
      <c r="H5" s="198"/>
      <c r="I5" s="198"/>
      <c r="J5" s="198"/>
      <c r="K5" s="198"/>
      <c r="L5" s="198"/>
      <c r="M5" s="198"/>
      <c r="N5" s="198"/>
      <c r="O5" s="198"/>
      <c r="P5" s="198"/>
      <c r="Q5" s="198"/>
      <c r="R5" s="198"/>
    </row>
    <row r="6" spans="3:18" ht="17.25" customHeight="1">
      <c r="C6" s="103" t="s">
        <v>174</v>
      </c>
      <c r="D6" s="112" t="s">
        <v>175</v>
      </c>
      <c r="E6" s="112"/>
      <c r="F6" s="112"/>
      <c r="G6" s="112"/>
      <c r="H6" s="112"/>
      <c r="I6" s="112"/>
      <c r="J6" s="112"/>
      <c r="K6" s="112"/>
      <c r="L6" s="112"/>
      <c r="M6" s="112"/>
      <c r="N6" s="112"/>
      <c r="O6" s="112"/>
      <c r="P6" s="112"/>
    </row>
    <row r="7" spans="3:18">
      <c r="C7"/>
      <c r="E7"/>
      <c r="F7"/>
      <c r="H7"/>
      <c r="J7"/>
    </row>
    <row r="8" spans="3:18">
      <c r="C8" s="146" t="s">
        <v>213</v>
      </c>
      <c r="D8" s="146"/>
      <c r="E8" s="146"/>
      <c r="F8" s="146"/>
      <c r="G8" s="146"/>
      <c r="H8" s="146"/>
      <c r="J8"/>
    </row>
    <row r="9" spans="3:18">
      <c r="C9"/>
      <c r="E9"/>
      <c r="F9"/>
      <c r="H9"/>
      <c r="J9"/>
    </row>
    <row r="10" spans="3:18">
      <c r="C10" t="s">
        <v>12</v>
      </c>
      <c r="D10" t="s">
        <v>1</v>
      </c>
      <c r="E10" t="s">
        <v>2</v>
      </c>
      <c r="F10" t="s">
        <v>3</v>
      </c>
      <c r="G10" t="s">
        <v>4</v>
      </c>
      <c r="H10" t="s">
        <v>5</v>
      </c>
      <c r="J10"/>
      <c r="K10" t="s">
        <v>12</v>
      </c>
      <c r="L10" t="s">
        <v>1</v>
      </c>
      <c r="M10" t="s">
        <v>2</v>
      </c>
      <c r="N10" t="s">
        <v>3</v>
      </c>
      <c r="O10" t="s">
        <v>4</v>
      </c>
      <c r="P10" t="s">
        <v>5</v>
      </c>
    </row>
    <row r="11" spans="3:18">
      <c r="C11">
        <v>2015</v>
      </c>
      <c r="D11" s="201">
        <f>Données1!L28/Données1!K4</f>
        <v>2628.2647000000002</v>
      </c>
      <c r="E11" s="201">
        <f>Données1!M28/Données1!L4</f>
        <v>1033.5998399999999</v>
      </c>
      <c r="F11" s="201">
        <f>Données1!P28/Données1!M4</f>
        <v>1000</v>
      </c>
      <c r="G11" s="201">
        <f>Données1!O28/Données1!N4</f>
        <v>1000</v>
      </c>
      <c r="H11" s="201">
        <f>Données1!P28/Données1!O4</f>
        <v>722.72168673530325</v>
      </c>
      <c r="J11"/>
      <c r="K11">
        <f>Table7[[#This Row],[Années]]</f>
        <v>2015</v>
      </c>
      <c r="L11">
        <f>Données1!B4</f>
        <v>0.17</v>
      </c>
      <c r="M11">
        <f>Données1!C4</f>
        <v>7.1999999999999995E-2</v>
      </c>
      <c r="N11">
        <f>Données1!D4</f>
        <v>7.2999999999999995E-2</v>
      </c>
      <c r="O11">
        <f>Données1!E4</f>
        <v>0.127</v>
      </c>
      <c r="P11">
        <f>Données1!F4</f>
        <v>6.0999999999999999E-2</v>
      </c>
    </row>
    <row r="12" spans="3:18">
      <c r="C12">
        <v>2016</v>
      </c>
      <c r="D12" s="201">
        <f>Données1!L29/Données1!K5</f>
        <v>2683.6082000000001</v>
      </c>
      <c r="E12" s="201">
        <f>Données1!M29/Données1!L5</f>
        <v>1019.9037600000001</v>
      </c>
      <c r="F12" s="201">
        <f>Données1!P29/Données1!M5</f>
        <v>1020.8</v>
      </c>
      <c r="G12" s="201">
        <f>Données1!O29/Données1!N5</f>
        <v>947.1</v>
      </c>
      <c r="H12" s="201">
        <f>Données1!P29/Données1!O5</f>
        <v>692.66917718758191</v>
      </c>
      <c r="J12"/>
      <c r="K12">
        <f>Table7[[#This Row],[Années]]</f>
        <v>2016</v>
      </c>
      <c r="L12">
        <f>Données1!B5</f>
        <v>0.17</v>
      </c>
      <c r="M12">
        <f>Données1!C5</f>
        <v>6.6000000000000003E-2</v>
      </c>
      <c r="N12">
        <f>Données1!D5</f>
        <v>6.5000000000000002E-2</v>
      </c>
      <c r="O12">
        <f>Données1!E5</f>
        <v>0.11799999999999999</v>
      </c>
      <c r="P12">
        <f>Données1!F5</f>
        <v>0.06</v>
      </c>
    </row>
    <row r="13" spans="3:18" ht="23.25" customHeight="1">
      <c r="C13">
        <v>2017</v>
      </c>
      <c r="D13" s="201">
        <f>Données1!L30/Données1!K6</f>
        <v>2647.9754199999993</v>
      </c>
      <c r="E13" s="201">
        <f>Données1!M30/Données1!L6</f>
        <v>998.51008999999999</v>
      </c>
      <c r="F13" s="201">
        <f>Données1!P30/Données1!M6</f>
        <v>1194.5999999999999</v>
      </c>
      <c r="G13" s="201">
        <f>Données1!O30/Données1!N6</f>
        <v>104.49</v>
      </c>
      <c r="H13" s="201">
        <f>Données1!P30/Données1!O6</f>
        <v>827.79991818487292</v>
      </c>
      <c r="J13"/>
      <c r="K13">
        <f>Table7[[#This Row],[Années]]</f>
        <v>2017</v>
      </c>
      <c r="L13">
        <f>Données1!B6</f>
        <v>0.17299999999999999</v>
      </c>
      <c r="M13">
        <f>Données1!C6</f>
        <v>6.7000000000000004E-2</v>
      </c>
      <c r="N13">
        <f>Données1!D6</f>
        <v>7.5999999999999998E-2</v>
      </c>
      <c r="O13">
        <f>Données1!E6</f>
        <v>0.13200000000000001</v>
      </c>
      <c r="P13">
        <f>Données1!F6</f>
        <v>0.06</v>
      </c>
    </row>
    <row r="14" spans="3:18" ht="22.5" customHeight="1">
      <c r="C14">
        <v>2018</v>
      </c>
      <c r="D14" s="201">
        <f>Données1!L31/Données1!K7</f>
        <v>2657.0955899999999</v>
      </c>
      <c r="E14" s="201">
        <f>Données1!M31/Données1!L7</f>
        <v>1018.4278499999999</v>
      </c>
      <c r="F14" s="201">
        <f>Données1!P31/Données1!M7</f>
        <v>1458.2</v>
      </c>
      <c r="G14" s="201">
        <f>Données1!O31/Données1!N7</f>
        <v>1200.2</v>
      </c>
      <c r="H14" s="201">
        <f>Données1!P31/Données1!O7</f>
        <v>973.34621314560547</v>
      </c>
      <c r="J14"/>
      <c r="K14">
        <f>Table7[[#This Row],[Années]]</f>
        <v>2018</v>
      </c>
      <c r="L14">
        <f>Données1!B7</f>
        <v>0.17699999999999999</v>
      </c>
      <c r="M14">
        <f>Données1!C7</f>
        <v>7.0999999999999994E-2</v>
      </c>
      <c r="N14">
        <f>Données1!D7</f>
        <v>9.2999999999999999E-2</v>
      </c>
      <c r="O14">
        <f>Données1!E7</f>
        <v>0.14299999999999999</v>
      </c>
      <c r="P14">
        <f>Données1!F7</f>
        <v>6.0999999999999999E-2</v>
      </c>
    </row>
    <row r="15" spans="3:18" ht="23.25" customHeight="1">
      <c r="C15">
        <v>2019</v>
      </c>
      <c r="D15" s="201">
        <f>Données1!L32/Données1!K8</f>
        <v>2749.2083999999995</v>
      </c>
      <c r="E15" s="201">
        <f>Données1!M32/Données1!L8</f>
        <v>1100.74531</v>
      </c>
      <c r="F15" s="201">
        <f>Données1!P32/Données1!M8</f>
        <v>1482</v>
      </c>
      <c r="G15" s="201">
        <f>Données1!O32/Données1!N8</f>
        <v>1208.4000000000001</v>
      </c>
      <c r="H15" s="201">
        <f>Données1!P32/Données1!O8</f>
        <v>961.36093205018165</v>
      </c>
      <c r="J15"/>
      <c r="K15">
        <f>Table7[[#This Row],[Années]]</f>
        <v>2019</v>
      </c>
      <c r="L15">
        <f>Données1!B8</f>
        <v>0.185</v>
      </c>
      <c r="M15">
        <f>Données1!C8</f>
        <v>7.9000000000000001E-2</v>
      </c>
      <c r="N15">
        <f>Données1!D8</f>
        <v>9.5000000000000001E-2</v>
      </c>
      <c r="O15">
        <f>Données1!E8</f>
        <v>0.14199999999999999</v>
      </c>
      <c r="P15">
        <f>Données1!F8</f>
        <v>6.4000000000000001E-2</v>
      </c>
    </row>
    <row r="16" spans="3:18" ht="20.25" customHeight="1">
      <c r="C16">
        <v>2020</v>
      </c>
      <c r="D16" s="201">
        <f>Données1!L33/Données1!K9</f>
        <v>2895.5721799999997</v>
      </c>
      <c r="E16" s="201">
        <f>Données1!M33/Données1!L9</f>
        <v>1005.2921499999999</v>
      </c>
      <c r="F16" s="201">
        <f>Données1!P33/Données1!M9</f>
        <v>1214.4000000000001</v>
      </c>
      <c r="G16" s="201">
        <f>Données1!O33/Données1!N9</f>
        <v>1064.8</v>
      </c>
      <c r="H16" s="201">
        <f>Données1!P33/Données1!O9</f>
        <v>782.82203758149046</v>
      </c>
      <c r="J16"/>
      <c r="K16">
        <f>Table7[[#This Row],[Années]]</f>
        <v>2020</v>
      </c>
      <c r="L16">
        <f>Données1!B9</f>
        <v>0.19400000000000001</v>
      </c>
      <c r="M16">
        <f>Données1!C9</f>
        <v>7.2999999999999995E-2</v>
      </c>
      <c r="N16">
        <f>Données1!D9</f>
        <v>7.8E-2</v>
      </c>
      <c r="O16">
        <f>Données1!E9</f>
        <v>0.14499999999999999</v>
      </c>
      <c r="P16">
        <f>Données1!F9</f>
        <v>6.5000000000000002E-2</v>
      </c>
    </row>
    <row r="17" spans="3:16" ht="26.25" customHeight="1">
      <c r="C17">
        <v>2021</v>
      </c>
      <c r="D17" s="201">
        <f>Données1!L34/Données1!K10</f>
        <v>3046.1478599999996</v>
      </c>
      <c r="E17" s="201">
        <f>Données1!M34/Données1!L10</f>
        <v>1060.8051999999998</v>
      </c>
      <c r="F17" s="201">
        <f>Données1!P34/Données1!M10</f>
        <v>1438.2</v>
      </c>
      <c r="G17" s="201">
        <f>Données1!O34/Données1!N10</f>
        <v>1207.5999999999999</v>
      </c>
      <c r="H17" s="201">
        <f>Données1!P34/Données1!O10</f>
        <v>846.07408174526381</v>
      </c>
      <c r="J17"/>
      <c r="K17">
        <f>Table7[[#This Row],[Années]]</f>
        <v>2021</v>
      </c>
      <c r="L17">
        <f>Données1!B10</f>
        <v>0.19800000000000001</v>
      </c>
      <c r="M17">
        <f>Données1!C10</f>
        <v>7.3999999999999996E-2</v>
      </c>
      <c r="N17">
        <f>Données1!D10</f>
        <v>9.0999999999999998E-2</v>
      </c>
      <c r="O17">
        <f>Données1!E10</f>
        <v>0.14899999999999999</v>
      </c>
      <c r="P17">
        <f>Données1!F10</f>
        <v>6.7000000000000004E-2</v>
      </c>
    </row>
    <row r="18" spans="3:16">
      <c r="C18">
        <v>2022</v>
      </c>
      <c r="D18" s="201">
        <f>Données1!L35/Données1!K11</f>
        <v>3028.3389499999998</v>
      </c>
      <c r="E18" s="201">
        <f>Données1!M35/Données1!L11</f>
        <v>1081.8120299999998</v>
      </c>
      <c r="F18" s="201">
        <f>Données1!P35/Données1!M11</f>
        <v>2391.6999999999998</v>
      </c>
      <c r="G18" s="201">
        <f>Données1!O35/Données1!N11</f>
        <v>1560.7</v>
      </c>
      <c r="H18" s="201">
        <f>Données1!P35/Données1!O11</f>
        <v>1218.8853631325699</v>
      </c>
      <c r="J18"/>
      <c r="K18">
        <f>Table7[[#This Row],[Années]]</f>
        <v>2022</v>
      </c>
      <c r="L18">
        <f>Données1!B11</f>
        <v>0.215</v>
      </c>
      <c r="M18">
        <f>Données1!C11</f>
        <v>9.2999999999999999E-2</v>
      </c>
      <c r="N18">
        <f>Données1!D11</f>
        <v>0.14899999999999999</v>
      </c>
      <c r="O18">
        <f>Données1!E11</f>
        <v>0.16</v>
      </c>
      <c r="P18">
        <f>Données1!F11</f>
        <v>0.107</v>
      </c>
    </row>
    <row r="19" spans="3:16">
      <c r="C19">
        <v>2023</v>
      </c>
      <c r="D19" s="201">
        <f>Données1!L36/Données1!K12</f>
        <v>3299.5252500000001</v>
      </c>
      <c r="E19" s="201">
        <f>Données1!M36/Données1!L12</f>
        <v>1148.5358999999999</v>
      </c>
      <c r="F19" s="201">
        <f>Données1!P36/Données1!M12</f>
        <v>2060.8000000000002</v>
      </c>
      <c r="G19" s="201">
        <f>Données1!O36/Données1!N12</f>
        <v>1533.6</v>
      </c>
      <c r="H19" s="201">
        <f>Données1!P36/Données1!O12</f>
        <v>923.70155180019742</v>
      </c>
      <c r="J19"/>
      <c r="K19">
        <f>Table7[[#This Row],[Années]]</f>
        <v>2023</v>
      </c>
      <c r="L19">
        <f>Données1!B12</f>
        <v>0.245</v>
      </c>
      <c r="M19">
        <f>Données1!C12</f>
        <v>0.111</v>
      </c>
      <c r="N19">
        <f>Données1!D12</f>
        <v>0.129</v>
      </c>
      <c r="O19">
        <f>Données1!E12</f>
        <v>0.16600000000000001</v>
      </c>
      <c r="P19">
        <f>Données1!F12</f>
        <v>0.106</v>
      </c>
    </row>
    <row r="20" spans="3:16">
      <c r="C20">
        <v>2024</v>
      </c>
      <c r="D20" s="201">
        <f>Données1!L37/Données1!K13</f>
        <v>3411.6645737999997</v>
      </c>
      <c r="E20" s="201">
        <f>Données1!M37/Données1!L13</f>
        <v>1371.0398999999998</v>
      </c>
      <c r="F20" s="201">
        <f>Données1!P37/Données1!M13</f>
        <v>1946.8</v>
      </c>
      <c r="G20" s="201">
        <f>Données1!O37/Données1!N13</f>
        <v>1459.1</v>
      </c>
      <c r="H20" s="201">
        <f>Données1!P37/Données1!O13</f>
        <v>1168.9135640267339</v>
      </c>
      <c r="J20"/>
      <c r="K20">
        <f>Table7[[#This Row],[Années]]</f>
        <v>2024</v>
      </c>
      <c r="L20">
        <f>Données1!B13</f>
        <v>0.252</v>
      </c>
      <c r="M20">
        <f>Données1!C13</f>
        <v>0.126</v>
      </c>
      <c r="N20">
        <f>Données1!D13</f>
        <v>0.123</v>
      </c>
      <c r="O20">
        <f>Données1!E13</f>
        <v>0.17199999999999999</v>
      </c>
      <c r="P20">
        <f>Données1!F13</f>
        <v>7.9000000000000001E-2</v>
      </c>
    </row>
    <row r="21" spans="3:16">
      <c r="C21"/>
      <c r="E21"/>
      <c r="F21"/>
      <c r="H21"/>
      <c r="J21"/>
    </row>
    <row r="22" spans="3:16">
      <c r="C22"/>
      <c r="E22"/>
      <c r="F22"/>
      <c r="H22"/>
      <c r="J22"/>
    </row>
    <row r="23" spans="3:16">
      <c r="C23"/>
      <c r="E23"/>
      <c r="F23"/>
      <c r="H23"/>
      <c r="J23"/>
    </row>
    <row r="24" spans="3:16" ht="27" customHeight="1">
      <c r="C24"/>
      <c r="E24"/>
      <c r="F24"/>
      <c r="H24"/>
      <c r="J24"/>
    </row>
    <row r="25" spans="3:16" ht="28.5" customHeight="1">
      <c r="C25"/>
      <c r="E25"/>
      <c r="F25"/>
      <c r="H25"/>
      <c r="J25"/>
    </row>
    <row r="26" spans="3:16" ht="24.75" customHeight="1">
      <c r="C26"/>
      <c r="E26"/>
      <c r="F26"/>
      <c r="H26"/>
      <c r="J26"/>
    </row>
    <row r="27" spans="3:16" ht="24" customHeight="1">
      <c r="C27"/>
      <c r="E27"/>
      <c r="F27"/>
      <c r="H27"/>
      <c r="J27"/>
    </row>
    <row r="28" spans="3:16" ht="30" customHeight="1">
      <c r="C28"/>
      <c r="E28"/>
      <c r="F28"/>
      <c r="H28"/>
      <c r="J28"/>
    </row>
    <row r="29" spans="3:16">
      <c r="C29" s="100"/>
      <c r="D29" s="25"/>
      <c r="E29" s="101"/>
      <c r="F29" s="25"/>
      <c r="G29" s="25"/>
    </row>
    <row r="35" spans="1:13" ht="18">
      <c r="A35" s="210" t="s">
        <v>214</v>
      </c>
      <c r="B35" s="211"/>
    </row>
    <row r="37" spans="1:13">
      <c r="A37" s="207" t="s">
        <v>221</v>
      </c>
      <c r="B37" s="208"/>
      <c r="C37" s="209"/>
      <c r="D37" s="208"/>
    </row>
    <row r="39" spans="1:13">
      <c r="A39" s="202" t="s">
        <v>215</v>
      </c>
      <c r="B39" s="203"/>
      <c r="C39" s="204"/>
      <c r="D39" s="203"/>
      <c r="E39" s="205"/>
      <c r="F39" s="206"/>
      <c r="G39" s="203"/>
      <c r="H39" s="206"/>
      <c r="I39" s="203"/>
      <c r="J39" s="206"/>
      <c r="K39" s="203"/>
    </row>
    <row r="40" spans="1:13">
      <c r="A40" s="203" t="s">
        <v>216</v>
      </c>
      <c r="B40" s="203"/>
      <c r="C40" s="204"/>
      <c r="D40" s="203"/>
      <c r="E40" s="205"/>
      <c r="F40" s="206"/>
      <c r="G40" s="203"/>
      <c r="H40" s="206"/>
      <c r="I40" s="203"/>
      <c r="J40" s="206"/>
      <c r="K40" s="203"/>
    </row>
    <row r="41" spans="1:13">
      <c r="A41" s="203" t="s">
        <v>217</v>
      </c>
      <c r="B41" s="203"/>
      <c r="C41" s="204"/>
      <c r="D41" s="203"/>
      <c r="E41" s="205"/>
      <c r="F41" s="206"/>
      <c r="G41" s="203"/>
      <c r="H41" s="206"/>
      <c r="I41" s="203"/>
      <c r="J41" s="206"/>
      <c r="K41" s="203"/>
    </row>
    <row r="42" spans="1:13">
      <c r="A42" s="203" t="s">
        <v>218</v>
      </c>
      <c r="B42" s="203"/>
      <c r="C42" s="204"/>
      <c r="D42" s="203"/>
      <c r="E42" s="205"/>
      <c r="F42" s="206"/>
      <c r="G42" s="203"/>
      <c r="H42" s="206"/>
      <c r="I42" s="203"/>
      <c r="J42" s="206"/>
      <c r="K42" s="203"/>
    </row>
    <row r="44" spans="1:13" ht="18">
      <c r="A44" s="219" t="s">
        <v>219</v>
      </c>
      <c r="B44" s="220"/>
    </row>
    <row r="46" spans="1:13">
      <c r="A46" s="212" t="s">
        <v>220</v>
      </c>
      <c r="B46" s="76"/>
      <c r="C46" s="213"/>
      <c r="D46" s="76"/>
    </row>
    <row r="48" spans="1:13">
      <c r="A48" s="214" t="s">
        <v>215</v>
      </c>
      <c r="B48" s="215"/>
      <c r="C48" s="216"/>
      <c r="D48" s="215"/>
      <c r="E48" s="217"/>
      <c r="F48" s="218"/>
      <c r="G48" s="215"/>
      <c r="H48" s="218"/>
      <c r="I48" s="215"/>
      <c r="J48" s="218"/>
      <c r="K48" s="215"/>
      <c r="L48" s="215"/>
      <c r="M48" s="215"/>
    </row>
    <row r="49" spans="1:13">
      <c r="A49" s="215" t="s">
        <v>222</v>
      </c>
      <c r="B49" s="215"/>
      <c r="C49" s="216"/>
      <c r="D49" s="215"/>
      <c r="E49" s="217"/>
      <c r="F49" s="218"/>
      <c r="G49" s="215"/>
      <c r="H49" s="218"/>
      <c r="I49" s="215"/>
      <c r="J49" s="218"/>
      <c r="K49" s="215"/>
      <c r="L49" s="215"/>
      <c r="M49" s="215"/>
    </row>
    <row r="50" spans="1:13">
      <c r="A50" s="214" t="s">
        <v>223</v>
      </c>
      <c r="B50" s="215"/>
      <c r="C50" s="216"/>
      <c r="D50" s="215"/>
      <c r="E50" s="217"/>
      <c r="F50" s="218"/>
      <c r="G50" s="215"/>
      <c r="H50" s="218"/>
      <c r="I50" s="215"/>
      <c r="J50" s="218"/>
      <c r="K50" s="215"/>
      <c r="L50" s="215"/>
      <c r="M50" s="215"/>
    </row>
    <row r="52" spans="1:13" ht="18">
      <c r="A52" s="219" t="s">
        <v>224</v>
      </c>
      <c r="B52" s="220"/>
      <c r="C52" s="221"/>
    </row>
    <row r="54" spans="1:13">
      <c r="A54" s="212" t="s">
        <v>227</v>
      </c>
      <c r="B54" s="76"/>
      <c r="C54" s="213"/>
      <c r="D54" s="76"/>
    </row>
    <row r="56" spans="1:13">
      <c r="A56" s="202" t="s">
        <v>215</v>
      </c>
      <c r="B56" s="203"/>
      <c r="C56" s="204"/>
      <c r="D56" s="203"/>
      <c r="E56" s="205"/>
      <c r="F56" s="206"/>
      <c r="G56" s="203"/>
      <c r="H56" s="206"/>
      <c r="I56" s="203"/>
      <c r="J56" s="206"/>
      <c r="K56" s="203"/>
      <c r="L56" s="203"/>
    </row>
    <row r="57" spans="1:13">
      <c r="A57" s="203" t="s">
        <v>225</v>
      </c>
      <c r="B57" s="203"/>
      <c r="C57" s="204"/>
      <c r="D57" s="203"/>
      <c r="E57" s="205"/>
      <c r="F57" s="206"/>
      <c r="G57" s="203"/>
      <c r="H57" s="206"/>
      <c r="I57" s="203"/>
      <c r="J57" s="206"/>
      <c r="K57" s="203"/>
      <c r="L57" s="203"/>
    </row>
    <row r="58" spans="1:13">
      <c r="A58" s="203" t="s">
        <v>226</v>
      </c>
      <c r="B58" s="203"/>
      <c r="C58" s="204"/>
      <c r="D58" s="203"/>
      <c r="E58" s="205"/>
      <c r="F58" s="206"/>
      <c r="G58" s="203"/>
      <c r="H58" s="206"/>
      <c r="I58" s="203"/>
      <c r="J58" s="206"/>
      <c r="K58" s="203"/>
      <c r="L58" s="203"/>
    </row>
    <row r="60" spans="1:13" ht="18">
      <c r="A60" s="222" t="s">
        <v>228</v>
      </c>
      <c r="B60" s="223"/>
    </row>
    <row r="62" spans="1:13">
      <c r="A62" s="212" t="s">
        <v>231</v>
      </c>
      <c r="B62" s="76"/>
      <c r="C62" s="213"/>
      <c r="D62" s="76"/>
    </row>
    <row r="64" spans="1:13">
      <c r="A64" s="224" t="s">
        <v>215</v>
      </c>
      <c r="B64" s="225"/>
      <c r="C64" s="226"/>
      <c r="D64" s="225"/>
      <c r="E64" s="227"/>
      <c r="F64" s="228"/>
      <c r="G64" s="225"/>
      <c r="H64" s="228"/>
      <c r="I64" s="225"/>
      <c r="J64" s="228"/>
      <c r="K64" s="225"/>
      <c r="L64" s="225"/>
    </row>
    <row r="65" spans="1:12">
      <c r="A65" s="225" t="s">
        <v>229</v>
      </c>
      <c r="B65" s="225"/>
      <c r="C65" s="226"/>
      <c r="D65" s="225"/>
      <c r="E65" s="227"/>
      <c r="F65" s="228"/>
      <c r="G65" s="225"/>
      <c r="H65" s="228"/>
      <c r="I65" s="225"/>
      <c r="J65" s="228"/>
      <c r="K65" s="225"/>
      <c r="L65" s="225"/>
    </row>
    <row r="66" spans="1:12">
      <c r="A66" s="224" t="s">
        <v>230</v>
      </c>
      <c r="B66" s="225"/>
      <c r="C66" s="226"/>
      <c r="D66" s="225"/>
      <c r="E66" s="227"/>
      <c r="F66" s="228"/>
      <c r="G66" s="225"/>
      <c r="H66" s="228"/>
      <c r="I66" s="225"/>
      <c r="J66" s="228"/>
      <c r="K66" s="225"/>
      <c r="L66" s="225"/>
    </row>
    <row r="68" spans="1:12" ht="18">
      <c r="A68" s="222" t="s">
        <v>232</v>
      </c>
    </row>
    <row r="70" spans="1:12">
      <c r="A70" s="212" t="s">
        <v>233</v>
      </c>
      <c r="B70" s="76"/>
      <c r="C70" s="213"/>
      <c r="D70" s="76"/>
    </row>
    <row r="72" spans="1:12">
      <c r="A72" s="202" t="s">
        <v>215</v>
      </c>
      <c r="B72" s="203"/>
      <c r="C72" s="204"/>
      <c r="D72" s="203"/>
      <c r="E72" s="205"/>
      <c r="F72" s="206"/>
      <c r="G72" s="203"/>
      <c r="H72" s="206"/>
      <c r="I72" s="203"/>
      <c r="J72" s="206"/>
      <c r="K72" s="203"/>
      <c r="L72" s="203"/>
    </row>
    <row r="73" spans="1:12">
      <c r="A73" s="203" t="s">
        <v>234</v>
      </c>
      <c r="B73" s="203"/>
      <c r="C73" s="204"/>
      <c r="D73" s="203"/>
      <c r="E73" s="205"/>
      <c r="F73" s="206"/>
      <c r="G73" s="203"/>
      <c r="H73" s="206"/>
      <c r="I73" s="203"/>
      <c r="J73" s="206"/>
      <c r="K73" s="203"/>
      <c r="L73" s="203"/>
    </row>
    <row r="74" spans="1:12">
      <c r="A74" s="202" t="s">
        <v>235</v>
      </c>
      <c r="B74" s="203"/>
      <c r="C74" s="204"/>
      <c r="D74" s="203"/>
      <c r="E74" s="205"/>
      <c r="F74" s="206"/>
      <c r="G74" s="203"/>
      <c r="H74" s="206"/>
      <c r="I74" s="203"/>
      <c r="J74" s="206"/>
      <c r="K74" s="203"/>
      <c r="L74" s="203"/>
    </row>
    <row r="75" spans="1:12">
      <c r="A75" s="203" t="s">
        <v>236</v>
      </c>
      <c r="B75" s="203"/>
      <c r="C75" s="204"/>
      <c r="D75" s="203"/>
      <c r="E75" s="205"/>
      <c r="F75" s="206"/>
      <c r="G75" s="203"/>
      <c r="H75" s="206"/>
      <c r="I75" s="203"/>
      <c r="J75" s="206"/>
      <c r="K75" s="203"/>
      <c r="L75" s="203"/>
    </row>
    <row r="77" spans="1:12">
      <c r="A77" s="232"/>
      <c r="B77" s="232"/>
      <c r="C77" s="233"/>
      <c r="D77" s="232"/>
      <c r="E77" s="234"/>
      <c r="F77" s="235"/>
      <c r="G77" s="232"/>
      <c r="H77" s="235"/>
      <c r="I77" s="232"/>
      <c r="J77" s="235"/>
      <c r="K77" s="232"/>
      <c r="L77" s="232"/>
    </row>
    <row r="78" spans="1:12" ht="20.25" thickBot="1">
      <c r="A78" s="236" t="s">
        <v>237</v>
      </c>
      <c r="B78" s="236"/>
      <c r="C78" s="236"/>
      <c r="D78" s="232"/>
      <c r="E78" s="234"/>
      <c r="F78" s="235"/>
      <c r="G78" s="232"/>
      <c r="H78" s="235"/>
      <c r="I78" s="232"/>
      <c r="J78" s="235"/>
      <c r="K78" s="232"/>
      <c r="L78" s="232"/>
    </row>
    <row r="79" spans="1:12" ht="15.75" thickTop="1">
      <c r="A79" s="232"/>
      <c r="B79" s="232"/>
      <c r="C79" s="233"/>
      <c r="D79" s="232"/>
      <c r="E79" s="234"/>
      <c r="F79" s="235"/>
      <c r="G79" s="232"/>
      <c r="H79" s="235"/>
      <c r="I79" s="232"/>
      <c r="J79" s="235"/>
      <c r="K79" s="232"/>
      <c r="L79" s="232"/>
    </row>
    <row r="80" spans="1:12">
      <c r="A80" s="229" t="s">
        <v>240</v>
      </c>
      <c r="B80" s="229"/>
      <c r="C80" s="230"/>
      <c r="D80" s="229"/>
      <c r="E80" s="231"/>
      <c r="F80" s="230"/>
      <c r="G80" s="229"/>
      <c r="H80" s="230"/>
      <c r="I80" s="229"/>
      <c r="J80" s="230"/>
      <c r="K80" s="229"/>
      <c r="L80" s="229"/>
    </row>
    <row r="81" spans="1:12">
      <c r="A81" s="229" t="s">
        <v>238</v>
      </c>
      <c r="B81" s="229"/>
      <c r="C81" s="230"/>
      <c r="D81" s="229"/>
      <c r="E81" s="231"/>
      <c r="F81" s="230"/>
      <c r="G81" s="229"/>
      <c r="H81" s="230"/>
      <c r="I81" s="229"/>
      <c r="J81" s="230"/>
      <c r="K81" s="229"/>
      <c r="L81" s="229"/>
    </row>
    <row r="82" spans="1:12">
      <c r="A82" s="229" t="s">
        <v>239</v>
      </c>
      <c r="B82" s="229"/>
      <c r="C82" s="230"/>
      <c r="D82" s="229"/>
      <c r="E82" s="231"/>
      <c r="F82" s="230"/>
      <c r="G82" s="229"/>
      <c r="H82" s="230"/>
      <c r="I82" s="229"/>
      <c r="J82" s="230"/>
      <c r="K82" s="229"/>
      <c r="L82" s="229"/>
    </row>
  </sheetData>
  <mergeCells count="5">
    <mergeCell ref="D2:M2"/>
    <mergeCell ref="C4:R4"/>
    <mergeCell ref="C5:R5"/>
    <mergeCell ref="C8:H8"/>
    <mergeCell ref="A78:C78"/>
  </mergeCells>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CF36F-2AA3-46AB-BFF0-4FB96B0BF4BA}">
  <dimension ref="A2:Q58"/>
  <sheetViews>
    <sheetView topLeftCell="A4" zoomScale="60" zoomScaleNormal="60" workbookViewId="0">
      <selection activeCell="A74" sqref="A74"/>
    </sheetView>
  </sheetViews>
  <sheetFormatPr defaultRowHeight="15"/>
  <cols>
    <col min="1" max="1" width="31.85546875" customWidth="1"/>
    <col min="2" max="2" width="23" customWidth="1"/>
    <col min="3" max="3" width="22" customWidth="1"/>
    <col min="4" max="4" width="21.7109375" customWidth="1"/>
    <col min="5" max="5" width="14.42578125" customWidth="1"/>
    <col min="6" max="6" width="21.7109375" customWidth="1"/>
    <col min="7" max="7" width="16.85546875" customWidth="1"/>
    <col min="8" max="8" width="17.7109375" customWidth="1"/>
    <col min="9" max="9" width="17.140625" customWidth="1"/>
    <col min="10" max="10" width="16.28515625" style="12" customWidth="1"/>
    <col min="11" max="11" width="16" style="12" customWidth="1"/>
    <col min="12" max="12" width="14.28515625" style="99" customWidth="1"/>
    <col min="13" max="13" width="19.7109375" style="12" customWidth="1"/>
    <col min="14" max="14" width="13.5703125" customWidth="1"/>
    <col min="15" max="15" width="14.7109375" customWidth="1"/>
    <col min="16" max="16" width="18.42578125" customWidth="1"/>
    <col min="17" max="17" width="13.42578125" customWidth="1"/>
  </cols>
  <sheetData>
    <row r="2" spans="2:17" ht="19.5">
      <c r="B2" s="147" t="s">
        <v>26</v>
      </c>
      <c r="C2" s="147"/>
      <c r="D2" s="147"/>
      <c r="E2" s="147"/>
      <c r="F2" s="147"/>
      <c r="G2" s="147"/>
      <c r="L2" s="200"/>
      <c r="M2" s="200"/>
      <c r="N2" s="200"/>
      <c r="O2" s="200"/>
      <c r="P2" s="200"/>
      <c r="Q2" s="200"/>
    </row>
    <row r="3" spans="2:17" ht="19.5">
      <c r="B3" s="1"/>
      <c r="C3" s="1"/>
      <c r="D3" s="1"/>
      <c r="E3" s="1"/>
      <c r="F3" s="1"/>
      <c r="G3" s="1"/>
      <c r="J3" s="15" t="s">
        <v>11</v>
      </c>
      <c r="K3" s="15"/>
      <c r="L3" s="15"/>
      <c r="M3" s="15"/>
      <c r="N3" s="15"/>
      <c r="O3" s="15"/>
    </row>
    <row r="4" spans="2:17">
      <c r="B4" s="126" t="s">
        <v>0</v>
      </c>
      <c r="C4" s="127" t="s">
        <v>1</v>
      </c>
      <c r="D4" s="127" t="s">
        <v>2</v>
      </c>
      <c r="E4" s="127" t="s">
        <v>3</v>
      </c>
      <c r="F4" s="126" t="s">
        <v>4</v>
      </c>
      <c r="G4" s="126" t="s">
        <v>5</v>
      </c>
      <c r="J4"/>
      <c r="K4"/>
      <c r="L4"/>
      <c r="M4"/>
    </row>
    <row r="5" spans="2:17">
      <c r="B5" s="126">
        <v>2015</v>
      </c>
      <c r="C5" s="128">
        <v>0.17</v>
      </c>
      <c r="D5" s="128">
        <v>7.1999999999999995E-2</v>
      </c>
      <c r="E5" s="128">
        <v>7.2999999999999995E-2</v>
      </c>
      <c r="F5" s="128">
        <v>0.127</v>
      </c>
      <c r="G5" s="128">
        <v>6.0999999999999999E-2</v>
      </c>
      <c r="J5" s="116" t="s">
        <v>0</v>
      </c>
      <c r="K5" s="117" t="s">
        <v>13</v>
      </c>
      <c r="L5" s="118" t="s">
        <v>14</v>
      </c>
      <c r="M5" s="116" t="s">
        <v>15</v>
      </c>
      <c r="N5" s="119" t="s">
        <v>16</v>
      </c>
      <c r="O5" s="120" t="s">
        <v>17</v>
      </c>
      <c r="P5" s="121" t="s">
        <v>176</v>
      </c>
      <c r="Q5" s="98"/>
    </row>
    <row r="6" spans="2:17">
      <c r="B6" s="126">
        <v>2016</v>
      </c>
      <c r="C6" s="128">
        <v>0.17</v>
      </c>
      <c r="D6" s="128">
        <v>6.6000000000000003E-2</v>
      </c>
      <c r="E6" s="128">
        <v>6.5000000000000002E-2</v>
      </c>
      <c r="F6" s="128">
        <v>0.11799999999999999</v>
      </c>
      <c r="G6" s="128">
        <v>0.06</v>
      </c>
      <c r="J6" s="122">
        <v>2015</v>
      </c>
      <c r="K6" s="120">
        <v>14491.91</v>
      </c>
      <c r="L6" s="120">
        <v>12767.22</v>
      </c>
      <c r="M6" s="116">
        <v>5216.41</v>
      </c>
      <c r="N6" s="116">
        <v>869.4</v>
      </c>
      <c r="O6" s="120">
        <v>7217.73</v>
      </c>
      <c r="P6" s="123">
        <f>SUM(Table39[[#This Row],[Cons, Elec]:[Conso, Bois]])</f>
        <v>40562.67</v>
      </c>
      <c r="Q6" s="98"/>
    </row>
    <row r="7" spans="2:17">
      <c r="B7" s="126">
        <v>2017</v>
      </c>
      <c r="C7" s="128">
        <v>0.17299999999999999</v>
      </c>
      <c r="D7" s="128">
        <v>6.7000000000000004E-2</v>
      </c>
      <c r="E7" s="128">
        <v>7.5999999999999998E-2</v>
      </c>
      <c r="F7" s="128">
        <v>0.13200000000000001</v>
      </c>
      <c r="G7" s="128">
        <v>0.06</v>
      </c>
      <c r="J7" s="122">
        <v>2016</v>
      </c>
      <c r="K7" s="120">
        <v>14817.46</v>
      </c>
      <c r="L7" s="120">
        <v>13720.36</v>
      </c>
      <c r="M7" s="116">
        <v>5460.11</v>
      </c>
      <c r="N7" s="116">
        <v>873.17</v>
      </c>
      <c r="O7" s="120">
        <v>8046.67</v>
      </c>
      <c r="P7" s="124">
        <f>SUM(Table39[[#This Row],[Cons, Elec]:[Conso, Bois]])</f>
        <v>42917.77</v>
      </c>
      <c r="Q7" s="98"/>
    </row>
    <row r="8" spans="2:17">
      <c r="B8" s="126">
        <v>2018</v>
      </c>
      <c r="C8" s="128">
        <v>0.17699999999999999</v>
      </c>
      <c r="D8" s="128">
        <v>7.0999999999999994E-2</v>
      </c>
      <c r="E8" s="128">
        <v>9.2999999999999999E-2</v>
      </c>
      <c r="F8" s="128">
        <v>0.14299999999999999</v>
      </c>
      <c r="G8" s="128">
        <v>6.0999999999999999E-2</v>
      </c>
      <c r="J8" s="122">
        <v>2017</v>
      </c>
      <c r="K8" s="120">
        <v>14354.54</v>
      </c>
      <c r="L8" s="120">
        <v>13196.27</v>
      </c>
      <c r="M8" s="116">
        <v>5217.3500000000004</v>
      </c>
      <c r="N8" s="116">
        <v>847.76</v>
      </c>
      <c r="O8" s="120">
        <v>7529.17</v>
      </c>
      <c r="P8" s="124">
        <f>SUM(Table39[[#This Row],[Cons, Elec]:[Conso, Bois]])</f>
        <v>41145.090000000004</v>
      </c>
      <c r="Q8" s="98"/>
    </row>
    <row r="9" spans="2:17">
      <c r="B9" s="126">
        <v>2019</v>
      </c>
      <c r="C9" s="128">
        <v>0.185</v>
      </c>
      <c r="D9" s="128">
        <v>7.9000000000000001E-2</v>
      </c>
      <c r="E9" s="128">
        <v>9.5000000000000001E-2</v>
      </c>
      <c r="F9" s="128">
        <v>0.14199999999999999</v>
      </c>
      <c r="G9" s="128">
        <v>6.4000000000000001E-2</v>
      </c>
      <c r="J9" s="122">
        <v>2018</v>
      </c>
      <c r="K9" s="120">
        <v>14081.67</v>
      </c>
      <c r="L9" s="120">
        <v>12733.35</v>
      </c>
      <c r="M9" s="116">
        <v>4788.3</v>
      </c>
      <c r="N9" s="116">
        <v>824.24</v>
      </c>
      <c r="O9" s="120">
        <v>7173.5</v>
      </c>
      <c r="P9" s="124">
        <f>SUM(Table39[[#This Row],[Cons, Elec]:[Conso, Bois]])</f>
        <v>39601.06</v>
      </c>
      <c r="Q9" s="98"/>
    </row>
    <row r="10" spans="2:17">
      <c r="B10" s="126">
        <v>2020</v>
      </c>
      <c r="C10" s="128">
        <v>0.19400000000000001</v>
      </c>
      <c r="D10" s="128">
        <v>7.2999999999999995E-2</v>
      </c>
      <c r="E10" s="128">
        <v>7.8E-2</v>
      </c>
      <c r="F10" s="128">
        <v>0.14499999999999999</v>
      </c>
      <c r="G10" s="128">
        <v>6.5000000000000002E-2</v>
      </c>
      <c r="J10" s="122">
        <v>2019</v>
      </c>
      <c r="K10" s="120">
        <v>13970.64</v>
      </c>
      <c r="L10" s="120">
        <v>12485.89</v>
      </c>
      <c r="M10" s="116">
        <v>4617.99</v>
      </c>
      <c r="N10" s="116">
        <v>801.66</v>
      </c>
      <c r="O10" s="120">
        <v>7118.93</v>
      </c>
      <c r="P10" s="124">
        <f>SUM(Table39[[#This Row],[Cons, Elec]:[Conso, Bois]])</f>
        <v>38995.11</v>
      </c>
      <c r="Q10" s="98"/>
    </row>
    <row r="11" spans="2:17">
      <c r="B11" s="126">
        <v>2021</v>
      </c>
      <c r="C11" s="128">
        <v>0.19800000000000001</v>
      </c>
      <c r="D11" s="128">
        <v>7.3999999999999996E-2</v>
      </c>
      <c r="E11" s="128">
        <v>9.0999999999999998E-2</v>
      </c>
      <c r="F11" s="128">
        <v>0.14899999999999999</v>
      </c>
      <c r="G11" s="128">
        <v>6.7000000000000004E-2</v>
      </c>
      <c r="J11" s="122">
        <v>2020</v>
      </c>
      <c r="K11" s="120">
        <v>14076.97</v>
      </c>
      <c r="L11" s="120">
        <v>12204.55</v>
      </c>
      <c r="M11" s="116">
        <v>4235.9799999999996</v>
      </c>
      <c r="N11" s="116">
        <v>763.08</v>
      </c>
      <c r="O11" s="120">
        <v>6571.32</v>
      </c>
      <c r="P11" s="124">
        <f>SUM(Table39[[#This Row],[Cons, Elec]:[Conso, Bois]])</f>
        <v>37851.899999999994</v>
      </c>
      <c r="Q11" s="98"/>
    </row>
    <row r="12" spans="2:17">
      <c r="B12" s="126">
        <v>2022</v>
      </c>
      <c r="C12" s="128">
        <v>0.215</v>
      </c>
      <c r="D12" s="128">
        <v>9.2999999999999999E-2</v>
      </c>
      <c r="E12" s="128">
        <v>0.14899999999999999</v>
      </c>
      <c r="F12" s="128">
        <v>0.16</v>
      </c>
      <c r="G12" s="128">
        <v>0.107</v>
      </c>
      <c r="J12" s="122">
        <v>2021</v>
      </c>
      <c r="K12" s="120">
        <v>14553.07</v>
      </c>
      <c r="L12" s="120">
        <v>12789.8</v>
      </c>
      <c r="M12" s="116">
        <v>4413.8100000000004</v>
      </c>
      <c r="N12" s="116">
        <v>779.07</v>
      </c>
      <c r="O12" s="120">
        <v>7502.82</v>
      </c>
      <c r="P12" s="124">
        <f>SUM(Table39[[#This Row],[Cons, Elec]:[Conso, Bois]])</f>
        <v>40038.57</v>
      </c>
      <c r="Q12" s="98"/>
    </row>
    <row r="13" spans="2:17">
      <c r="B13" s="126">
        <v>2023</v>
      </c>
      <c r="C13" s="128">
        <v>0.245</v>
      </c>
      <c r="D13" s="128">
        <v>0.111</v>
      </c>
      <c r="E13" s="128">
        <v>0.129</v>
      </c>
      <c r="F13" s="128">
        <v>0.16600000000000001</v>
      </c>
      <c r="G13" s="128">
        <v>0.106</v>
      </c>
      <c r="J13" s="122">
        <v>2022</v>
      </c>
      <c r="K13" s="120">
        <v>13319.53</v>
      </c>
      <c r="L13" s="120">
        <v>10402.709999999999</v>
      </c>
      <c r="M13" s="116">
        <v>3211.33</v>
      </c>
      <c r="N13" s="116">
        <v>688.75</v>
      </c>
      <c r="O13" s="120">
        <v>6301.28</v>
      </c>
      <c r="P13" s="124">
        <f>SUM(Table39[[#This Row],[Cons, Elec]:[Conso, Bois]])</f>
        <v>33923.599999999999</v>
      </c>
      <c r="Q13" s="98"/>
    </row>
    <row r="14" spans="2:17">
      <c r="B14" s="126">
        <v>2024</v>
      </c>
      <c r="C14" s="128">
        <v>0.252</v>
      </c>
      <c r="D14" s="128">
        <v>0.126</v>
      </c>
      <c r="E14" s="128">
        <v>0.123</v>
      </c>
      <c r="F14" s="128">
        <v>0.17199999999999999</v>
      </c>
      <c r="G14" s="128">
        <v>7.9000000000000001E-2</v>
      </c>
      <c r="J14" s="122">
        <v>2023</v>
      </c>
      <c r="K14" s="120">
        <v>12795.45</v>
      </c>
      <c r="L14" s="124">
        <v>9316.9</v>
      </c>
      <c r="M14" s="116">
        <v>2875.42</v>
      </c>
      <c r="N14" s="116">
        <v>657.7</v>
      </c>
      <c r="O14" s="120">
        <v>6415.13</v>
      </c>
      <c r="P14" s="124">
        <f>SUM(Table39[[#This Row],[Cons, Elec]:[Conso, Bois]])</f>
        <v>32060.6</v>
      </c>
      <c r="Q14" s="98"/>
    </row>
    <row r="15" spans="2:17">
      <c r="B15" s="12"/>
      <c r="C15" s="98"/>
      <c r="D15" s="98"/>
      <c r="E15" s="98"/>
      <c r="F15" s="98"/>
      <c r="G15" s="98"/>
      <c r="J15" s="122">
        <v>2024</v>
      </c>
      <c r="K15" s="124">
        <f>0.7%*K14+K14</f>
        <v>12885.01815</v>
      </c>
      <c r="L15" s="120">
        <v>9973.65</v>
      </c>
      <c r="M15" s="121">
        <f>(42.03*1000)/10.628</f>
        <v>3954.6480993601808</v>
      </c>
      <c r="N15" s="121">
        <f>0.3%*N14+N14</f>
        <v>659.67310000000009</v>
      </c>
      <c r="O15" s="120">
        <v>6586.38</v>
      </c>
      <c r="P15" s="125">
        <f>SUM(Table39[[#This Row],[Cons, Elec]:[Conso, Bois]])</f>
        <v>34059.369349360175</v>
      </c>
      <c r="Q15" s="98"/>
    </row>
    <row r="16" spans="2:17">
      <c r="B16" s="12"/>
      <c r="C16" s="98"/>
      <c r="D16" s="98"/>
      <c r="E16" s="98"/>
      <c r="F16" s="98"/>
      <c r="G16" s="98"/>
      <c r="M16" s="98"/>
      <c r="N16" s="98"/>
      <c r="O16" s="98"/>
      <c r="P16" s="98"/>
      <c r="Q16" s="98"/>
    </row>
    <row r="17" spans="1:13" ht="18.75">
      <c r="A17" s="134" t="s">
        <v>177</v>
      </c>
      <c r="B17" s="132"/>
      <c r="C17" s="132"/>
      <c r="D17" s="132"/>
      <c r="E17" s="132"/>
      <c r="F17" s="132"/>
      <c r="G17" s="132"/>
      <c r="H17" s="132"/>
      <c r="I17" s="132"/>
      <c r="J17" s="133"/>
      <c r="L17"/>
      <c r="M17"/>
    </row>
    <row r="18" spans="1:13" ht="19.5" thickBot="1">
      <c r="A18" s="132"/>
      <c r="B18" s="132"/>
      <c r="C18" s="132"/>
      <c r="D18" s="132"/>
      <c r="E18" s="132"/>
      <c r="F18" s="132"/>
      <c r="G18" s="132"/>
      <c r="H18" s="132"/>
      <c r="I18" s="132"/>
      <c r="J18" s="132"/>
      <c r="K18"/>
      <c r="L18"/>
      <c r="M18"/>
    </row>
    <row r="19" spans="1:13" ht="15.75">
      <c r="A19" s="135" t="s">
        <v>178</v>
      </c>
      <c r="B19" s="135"/>
      <c r="C19" s="129"/>
      <c r="D19" s="129"/>
      <c r="E19" s="129"/>
      <c r="F19" s="129"/>
      <c r="G19" s="129"/>
      <c r="H19" s="129"/>
      <c r="I19" s="129"/>
      <c r="J19" s="129"/>
      <c r="K19"/>
      <c r="L19"/>
      <c r="M19"/>
    </row>
    <row r="20" spans="1:13" ht="15.75">
      <c r="A20" s="136" t="s">
        <v>179</v>
      </c>
      <c r="B20" s="129">
        <v>0.99247699347974072</v>
      </c>
      <c r="C20" s="129"/>
      <c r="D20" s="129"/>
      <c r="E20" s="129"/>
      <c r="F20" s="129"/>
      <c r="G20" s="129"/>
      <c r="H20" s="129"/>
      <c r="I20" s="129"/>
      <c r="J20" s="129"/>
      <c r="K20"/>
      <c r="L20"/>
      <c r="M20"/>
    </row>
    <row r="21" spans="1:13" ht="15.75">
      <c r="A21" s="136" t="s">
        <v>180</v>
      </c>
      <c r="B21" s="129">
        <v>0.98501058258658525</v>
      </c>
      <c r="C21" s="129"/>
      <c r="D21" s="129"/>
      <c r="E21" s="129"/>
      <c r="F21" s="129"/>
      <c r="G21" s="129"/>
      <c r="H21" s="129"/>
      <c r="I21" s="129"/>
      <c r="J21" s="129"/>
      <c r="K21"/>
      <c r="L21"/>
      <c r="M21"/>
    </row>
    <row r="22" spans="1:13" ht="15.75">
      <c r="A22" s="136" t="s">
        <v>181</v>
      </c>
      <c r="B22" s="129">
        <v>0.96627381081981678</v>
      </c>
      <c r="C22" s="129"/>
      <c r="D22" s="129"/>
      <c r="E22" s="129"/>
      <c r="F22" s="129"/>
      <c r="G22" s="129"/>
      <c r="H22" s="129"/>
      <c r="I22" s="129"/>
      <c r="J22" s="129"/>
      <c r="K22"/>
      <c r="L22"/>
      <c r="M22"/>
    </row>
    <row r="23" spans="1:13" ht="15.75">
      <c r="A23" s="136" t="s">
        <v>182</v>
      </c>
      <c r="B23" s="129">
        <v>658.35469229236696</v>
      </c>
      <c r="C23" s="129"/>
      <c r="D23" s="129"/>
      <c r="E23" s="129"/>
      <c r="F23" s="129"/>
      <c r="G23" s="129"/>
      <c r="H23" s="129"/>
      <c r="I23" s="129"/>
      <c r="J23" s="129"/>
      <c r="K23"/>
      <c r="L23"/>
      <c r="M23"/>
    </row>
    <row r="24" spans="1:13" ht="16.5" thickBot="1">
      <c r="A24" s="137" t="s">
        <v>183</v>
      </c>
      <c r="B24" s="130">
        <v>10</v>
      </c>
      <c r="C24" s="129"/>
      <c r="D24" s="129"/>
      <c r="E24" s="129"/>
      <c r="F24" s="129"/>
      <c r="G24" s="129"/>
      <c r="H24" s="129"/>
      <c r="I24" s="129"/>
      <c r="J24" s="129"/>
      <c r="K24"/>
      <c r="L24"/>
      <c r="M24"/>
    </row>
    <row r="25" spans="1:13" ht="15.75">
      <c r="A25" s="129"/>
      <c r="B25" s="129"/>
      <c r="C25" s="129"/>
      <c r="D25" s="129"/>
      <c r="E25" s="129"/>
      <c r="F25" s="129"/>
      <c r="G25" s="129"/>
      <c r="H25" s="129"/>
      <c r="I25" s="129"/>
      <c r="J25" s="129"/>
      <c r="K25"/>
      <c r="L25"/>
      <c r="M25"/>
    </row>
    <row r="26" spans="1:13" ht="16.5" thickBot="1">
      <c r="A26" s="138" t="s">
        <v>184</v>
      </c>
      <c r="B26" s="129"/>
      <c r="C26" s="129"/>
      <c r="D26" s="129"/>
      <c r="E26" s="129"/>
      <c r="F26" s="129"/>
      <c r="G26" s="129"/>
      <c r="H26" s="129"/>
      <c r="I26" s="129"/>
      <c r="J26" s="129"/>
      <c r="K26"/>
      <c r="L26"/>
      <c r="M26"/>
    </row>
    <row r="27" spans="1:13" ht="17.25" thickTop="1" thickBot="1">
      <c r="A27" s="139"/>
      <c r="B27" s="140" t="s">
        <v>189</v>
      </c>
      <c r="C27" s="140" t="s">
        <v>190</v>
      </c>
      <c r="D27" s="140" t="s">
        <v>191</v>
      </c>
      <c r="E27" s="140" t="s">
        <v>192</v>
      </c>
      <c r="F27" s="140" t="s">
        <v>193</v>
      </c>
      <c r="G27" s="129"/>
      <c r="H27" s="129"/>
      <c r="I27" s="129"/>
      <c r="J27" s="129"/>
      <c r="K27"/>
      <c r="L27"/>
      <c r="M27"/>
    </row>
    <row r="28" spans="1:13" ht="16.5" thickTop="1">
      <c r="A28" s="136" t="s">
        <v>185</v>
      </c>
      <c r="B28" s="129">
        <v>5</v>
      </c>
      <c r="C28" s="129">
        <v>113929450.99744262</v>
      </c>
      <c r="D28" s="129">
        <v>22785890.199488524</v>
      </c>
      <c r="E28" s="129">
        <v>52.570986872647836</v>
      </c>
      <c r="F28" s="129">
        <v>9.6829362453452279E-4</v>
      </c>
      <c r="G28" s="129"/>
      <c r="H28" s="129"/>
      <c r="I28" s="129"/>
      <c r="J28" s="129"/>
      <c r="K28"/>
      <c r="L28"/>
      <c r="M28"/>
    </row>
    <row r="29" spans="1:13" ht="15.75">
      <c r="A29" s="136" t="s">
        <v>186</v>
      </c>
      <c r="B29" s="129">
        <v>4</v>
      </c>
      <c r="C29" s="129">
        <v>1733723.6034535086</v>
      </c>
      <c r="D29" s="129">
        <v>433430.90086337714</v>
      </c>
      <c r="E29" s="129"/>
      <c r="F29" s="129"/>
      <c r="G29" s="129"/>
      <c r="H29" s="129"/>
      <c r="I29" s="129"/>
      <c r="J29" s="129"/>
      <c r="K29"/>
      <c r="L29"/>
      <c r="M29"/>
    </row>
    <row r="30" spans="1:13" ht="16.5" thickBot="1">
      <c r="A30" s="137" t="s">
        <v>187</v>
      </c>
      <c r="B30" s="130">
        <v>9</v>
      </c>
      <c r="C30" s="130">
        <v>115663174.60089612</v>
      </c>
      <c r="D30" s="130"/>
      <c r="E30" s="130"/>
      <c r="F30" s="130"/>
      <c r="G30" s="129"/>
      <c r="H30" s="129"/>
      <c r="I30" s="129"/>
      <c r="J30" s="129"/>
      <c r="K30"/>
      <c r="L30"/>
      <c r="M30"/>
    </row>
    <row r="31" spans="1:13" ht="16.5" thickBot="1">
      <c r="A31" s="129"/>
      <c r="B31" s="129"/>
      <c r="C31" s="129"/>
      <c r="D31" s="129"/>
      <c r="E31" s="129"/>
      <c r="F31" s="129"/>
      <c r="G31" s="129"/>
      <c r="H31" s="129"/>
      <c r="I31" s="129"/>
      <c r="J31" s="129"/>
      <c r="K31"/>
      <c r="L31"/>
      <c r="M31"/>
    </row>
    <row r="32" spans="1:13" ht="15.75">
      <c r="A32" s="131"/>
      <c r="B32" s="140" t="s">
        <v>194</v>
      </c>
      <c r="C32" s="140" t="s">
        <v>182</v>
      </c>
      <c r="D32" s="140" t="s">
        <v>195</v>
      </c>
      <c r="E32" s="140" t="s">
        <v>196</v>
      </c>
      <c r="F32" s="140" t="s">
        <v>197</v>
      </c>
      <c r="G32" s="140" t="s">
        <v>198</v>
      </c>
      <c r="H32" s="140" t="s">
        <v>199</v>
      </c>
      <c r="I32" s="140" t="s">
        <v>200</v>
      </c>
      <c r="J32" s="129"/>
      <c r="K32"/>
      <c r="L32"/>
      <c r="M32"/>
    </row>
    <row r="33" spans="1:13" ht="15.75">
      <c r="A33" s="136" t="s">
        <v>188</v>
      </c>
      <c r="B33" s="143">
        <v>65408.25421946089</v>
      </c>
      <c r="C33" s="143">
        <v>3446.0784682261365</v>
      </c>
      <c r="D33" s="143">
        <v>18.980488930401428</v>
      </c>
      <c r="E33" s="143">
        <v>4.5386574733413526E-5</v>
      </c>
      <c r="F33" s="143">
        <v>55840.406524226928</v>
      </c>
      <c r="G33" s="143">
        <v>74976.101914694853</v>
      </c>
      <c r="H33" s="143">
        <v>55840.406524226928</v>
      </c>
      <c r="I33" s="143">
        <v>74976.101914694853</v>
      </c>
      <c r="J33" s="129"/>
      <c r="K33"/>
      <c r="L33"/>
      <c r="M33"/>
    </row>
    <row r="34" spans="1:13" ht="15.75">
      <c r="A34" s="136" t="s">
        <v>212</v>
      </c>
      <c r="B34" s="143">
        <v>183421.07294724515</v>
      </c>
      <c r="C34" s="143">
        <v>70145.642461002179</v>
      </c>
      <c r="D34" s="143">
        <v>2.6148605460306249</v>
      </c>
      <c r="E34" s="143">
        <v>5.9117400484060743E-2</v>
      </c>
      <c r="F34" s="143">
        <v>-11334.452714558836</v>
      </c>
      <c r="G34" s="143">
        <v>378176.59860904911</v>
      </c>
      <c r="H34" s="143">
        <v>-11334.452714558836</v>
      </c>
      <c r="I34" s="143">
        <v>378176.59860904911</v>
      </c>
      <c r="J34" s="129"/>
      <c r="K34"/>
      <c r="L34"/>
      <c r="M34"/>
    </row>
    <row r="35" spans="1:13" ht="15.75">
      <c r="A35" s="136" t="s">
        <v>204</v>
      </c>
      <c r="B35" s="143">
        <v>-187583.53156605174</v>
      </c>
      <c r="C35" s="143">
        <v>62964.630802257896</v>
      </c>
      <c r="D35" s="143">
        <v>-2.9791889379159997</v>
      </c>
      <c r="E35" s="143">
        <v>4.0771582895947851E-2</v>
      </c>
      <c r="F35" s="143">
        <v>-362401.37255756685</v>
      </c>
      <c r="G35" s="143">
        <v>-12765.690574536595</v>
      </c>
      <c r="H35" s="143">
        <v>-362401.37255756685</v>
      </c>
      <c r="I35" s="143">
        <v>-12765.690574536595</v>
      </c>
      <c r="J35" s="129"/>
      <c r="K35"/>
      <c r="L35"/>
      <c r="M35"/>
    </row>
    <row r="36" spans="1:13" ht="15.75">
      <c r="A36" s="136" t="s">
        <v>201</v>
      </c>
      <c r="B36" s="143">
        <v>138526.19188155598</v>
      </c>
      <c r="C36" s="143">
        <v>50448.231164135592</v>
      </c>
      <c r="D36" s="143">
        <v>2.745907808558337</v>
      </c>
      <c r="E36" s="143">
        <v>5.1590999266991358E-2</v>
      </c>
      <c r="F36" s="143">
        <v>-1540.5525999950769</v>
      </c>
      <c r="G36" s="143">
        <v>278592.93636310706</v>
      </c>
      <c r="H36" s="143">
        <v>-1540.5525999950769</v>
      </c>
      <c r="I36" s="143">
        <v>278592.93636310706</v>
      </c>
      <c r="J36" s="129"/>
      <c r="K36"/>
      <c r="L36"/>
      <c r="M36"/>
    </row>
    <row r="37" spans="1:13" ht="15.75">
      <c r="A37" s="136" t="s">
        <v>203</v>
      </c>
      <c r="B37" s="143">
        <v>-303579.75978536095</v>
      </c>
      <c r="C37" s="143">
        <v>82528.102377140589</v>
      </c>
      <c r="D37" s="143">
        <v>-3.678501638121384</v>
      </c>
      <c r="E37" s="143">
        <v>2.1231884081198044E-2</v>
      </c>
      <c r="F37" s="143">
        <v>-532714.50567163527</v>
      </c>
      <c r="G37" s="143">
        <v>-74445.013899086567</v>
      </c>
      <c r="H37" s="143">
        <v>-532714.50567163527</v>
      </c>
      <c r="I37" s="143">
        <v>-74445.013899086567</v>
      </c>
      <c r="J37" s="129"/>
      <c r="K37"/>
      <c r="L37"/>
      <c r="M37"/>
    </row>
    <row r="38" spans="1:13" ht="16.5" thickBot="1">
      <c r="A38" s="137" t="s">
        <v>202</v>
      </c>
      <c r="B38" s="144">
        <v>-237109.72017239666</v>
      </c>
      <c r="C38" s="144">
        <v>57585.264838348747</v>
      </c>
      <c r="D38" s="144">
        <v>-4.1175415418858003</v>
      </c>
      <c r="E38" s="144">
        <v>1.4641761221543804E-2</v>
      </c>
      <c r="F38" s="144">
        <v>-396992.04686434864</v>
      </c>
      <c r="G38" s="144">
        <v>-77227.393480444676</v>
      </c>
      <c r="H38" s="144">
        <v>-396992.04686434864</v>
      </c>
      <c r="I38" s="144">
        <v>-77227.393480444676</v>
      </c>
      <c r="J38" s="129"/>
      <c r="K38"/>
      <c r="L38"/>
      <c r="M38"/>
    </row>
    <row r="39" spans="1:13" ht="15.75">
      <c r="A39" s="129"/>
      <c r="B39" s="129"/>
      <c r="C39" s="129"/>
      <c r="D39" s="129"/>
      <c r="E39" s="129"/>
      <c r="F39" s="129"/>
      <c r="G39" s="129"/>
      <c r="H39" s="129"/>
      <c r="I39" s="129"/>
      <c r="J39" s="129"/>
      <c r="K39"/>
      <c r="L39"/>
      <c r="M39"/>
    </row>
    <row r="40" spans="1:13" ht="15.75">
      <c r="A40" s="129"/>
      <c r="B40" s="129"/>
      <c r="C40" s="129"/>
      <c r="D40" s="129"/>
      <c r="E40" s="129"/>
      <c r="F40" s="129"/>
      <c r="G40" s="129"/>
      <c r="H40" s="129"/>
      <c r="I40" s="129"/>
      <c r="J40" s="129"/>
      <c r="K40"/>
      <c r="L40"/>
      <c r="M40"/>
    </row>
    <row r="41" spans="1:13" ht="15.75">
      <c r="A41" s="129"/>
      <c r="B41" s="129"/>
      <c r="C41" s="129"/>
      <c r="D41" s="129"/>
      <c r="E41" s="129"/>
      <c r="F41" s="129"/>
      <c r="G41" s="129"/>
      <c r="H41" s="129"/>
      <c r="I41" s="129"/>
      <c r="J41" s="129"/>
      <c r="K41"/>
      <c r="L41"/>
      <c r="M41"/>
    </row>
    <row r="42" spans="1:13" ht="15.75">
      <c r="A42" s="138" t="s">
        <v>205</v>
      </c>
      <c r="B42" s="129"/>
      <c r="C42" s="129"/>
      <c r="D42" s="129"/>
      <c r="E42" s="129"/>
      <c r="F42" s="199" t="s">
        <v>210</v>
      </c>
      <c r="G42" s="199"/>
      <c r="H42" s="129"/>
      <c r="I42" s="129"/>
      <c r="J42" s="129"/>
      <c r="K42"/>
      <c r="L42"/>
      <c r="M42"/>
    </row>
    <row r="43" spans="1:13" ht="16.5" thickBot="1">
      <c r="A43" s="129"/>
      <c r="B43" s="129"/>
      <c r="C43" s="129"/>
      <c r="D43" s="129"/>
      <c r="E43" s="129"/>
      <c r="F43" s="129"/>
      <c r="G43" s="129"/>
      <c r="H43" s="129"/>
      <c r="I43" s="129"/>
      <c r="J43" s="129"/>
      <c r="K43"/>
      <c r="L43"/>
      <c r="M43"/>
    </row>
    <row r="44" spans="1:13" ht="15.75">
      <c r="A44" s="140" t="s">
        <v>206</v>
      </c>
      <c r="B44" s="140" t="s">
        <v>207</v>
      </c>
      <c r="C44" s="140" t="s">
        <v>208</v>
      </c>
      <c r="D44" s="140" t="s">
        <v>209</v>
      </c>
      <c r="E44" s="129"/>
      <c r="F44" s="141" t="s">
        <v>211</v>
      </c>
      <c r="G44" s="141" t="s">
        <v>176</v>
      </c>
      <c r="H44" s="129"/>
      <c r="I44" s="129"/>
      <c r="J44" s="11"/>
      <c r="L44"/>
      <c r="M44"/>
    </row>
    <row r="45" spans="1:13" ht="15.75">
      <c r="A45" s="129">
        <v>1</v>
      </c>
      <c r="B45" s="143">
        <v>40177.911931833398</v>
      </c>
      <c r="C45" s="143">
        <v>384.75806816660042</v>
      </c>
      <c r="D45" s="143">
        <v>0.87663551123230499</v>
      </c>
      <c r="E45" s="129"/>
      <c r="F45" s="142">
        <v>5</v>
      </c>
      <c r="G45" s="142">
        <v>32060.6</v>
      </c>
      <c r="H45" s="129"/>
      <c r="I45" s="129"/>
      <c r="J45" s="11"/>
      <c r="L45"/>
      <c r="M45"/>
    </row>
    <row r="46" spans="1:13" ht="15.75">
      <c r="A46" s="129">
        <v>2</v>
      </c>
      <c r="B46" s="143">
        <v>43164.531144417902</v>
      </c>
      <c r="C46" s="143">
        <v>-246.7611444179056</v>
      </c>
      <c r="D46" s="143">
        <v>-0.56222234148288952</v>
      </c>
      <c r="E46" s="129"/>
      <c r="F46" s="142">
        <v>15</v>
      </c>
      <c r="G46" s="142">
        <v>33923.599999999999</v>
      </c>
      <c r="H46" s="129"/>
      <c r="I46" s="129"/>
      <c r="J46" s="11"/>
      <c r="L46"/>
      <c r="M46"/>
    </row>
    <row r="47" spans="1:13" ht="15.75">
      <c r="A47" s="129">
        <v>3</v>
      </c>
      <c r="B47" s="143">
        <v>40800.882305395651</v>
      </c>
      <c r="C47" s="143">
        <v>344.20769460435258</v>
      </c>
      <c r="D47" s="143">
        <v>0.78424525252300659</v>
      </c>
      <c r="E47" s="129"/>
      <c r="F47" s="142">
        <v>25</v>
      </c>
      <c r="G47" s="142">
        <v>34059.369349360175</v>
      </c>
      <c r="H47" s="129"/>
      <c r="I47" s="129"/>
      <c r="J47" s="11"/>
      <c r="L47"/>
      <c r="M47"/>
    </row>
    <row r="48" spans="1:13" ht="15.75">
      <c r="A48" s="129">
        <v>4</v>
      </c>
      <c r="B48" s="143">
        <v>39562.690655095503</v>
      </c>
      <c r="C48" s="143">
        <v>38.369344904494938</v>
      </c>
      <c r="D48" s="143">
        <v>8.7420987547520854E-2</v>
      </c>
      <c r="E48" s="129"/>
      <c r="F48" s="142">
        <v>35</v>
      </c>
      <c r="G48" s="142">
        <v>37851.899999999994</v>
      </c>
      <c r="H48" s="129"/>
      <c r="I48" s="129"/>
      <c r="J48" s="11"/>
      <c r="L48"/>
      <c r="M48"/>
    </row>
    <row r="49" spans="1:13" ht="15.75">
      <c r="A49" s="129">
        <v>5</v>
      </c>
      <c r="B49" s="143">
        <v>39398.69396917634</v>
      </c>
      <c r="C49" s="143">
        <v>-403.58396917633945</v>
      </c>
      <c r="D49" s="143">
        <v>-0.91952857760703099</v>
      </c>
      <c r="E49" s="129"/>
      <c r="F49" s="142">
        <v>45</v>
      </c>
      <c r="G49" s="142">
        <v>38995.11</v>
      </c>
      <c r="H49" s="129"/>
      <c r="I49" s="129"/>
      <c r="J49" s="11"/>
      <c r="L49"/>
      <c r="M49"/>
    </row>
    <row r="50" spans="1:13" ht="15.75">
      <c r="A50" s="129">
        <v>6</v>
      </c>
      <c r="B50" s="143">
        <v>38672.190553582906</v>
      </c>
      <c r="C50" s="143">
        <v>-820.29055358291225</v>
      </c>
      <c r="D50" s="143">
        <v>-1.868955814820803</v>
      </c>
      <c r="E50" s="129"/>
      <c r="F50" s="142">
        <v>55</v>
      </c>
      <c r="G50" s="142">
        <v>39601.06</v>
      </c>
      <c r="H50" s="129"/>
      <c r="I50" s="129"/>
      <c r="J50" s="11"/>
      <c r="L50"/>
      <c r="M50"/>
    </row>
    <row r="51" spans="1:13" ht="15.75">
      <c r="A51" s="129">
        <v>7</v>
      </c>
      <c r="B51" s="143">
        <v>39330.59332877984</v>
      </c>
      <c r="C51" s="143">
        <v>707.97667122015991</v>
      </c>
      <c r="D51" s="143">
        <v>1.6130590687104034</v>
      </c>
      <c r="E51" s="129"/>
      <c r="F51" s="142">
        <v>65</v>
      </c>
      <c r="G51" s="142">
        <v>40038.57</v>
      </c>
      <c r="H51" s="129"/>
      <c r="I51" s="129"/>
      <c r="J51" s="11"/>
      <c r="L51"/>
      <c r="M51"/>
    </row>
    <row r="52" spans="1:13" ht="15.75">
      <c r="A52" s="129">
        <v>8</v>
      </c>
      <c r="B52" s="143">
        <v>34095.417433723422</v>
      </c>
      <c r="C52" s="143">
        <v>-171.81743372342316</v>
      </c>
      <c r="D52" s="143">
        <v>-0.39147005953241421</v>
      </c>
      <c r="E52" s="129"/>
      <c r="F52" s="142">
        <v>75</v>
      </c>
      <c r="G52" s="142">
        <v>40562.67</v>
      </c>
      <c r="H52" s="129"/>
      <c r="I52" s="129"/>
      <c r="J52" s="11"/>
      <c r="L52"/>
      <c r="M52"/>
    </row>
    <row r="53" spans="1:13" ht="15.75">
      <c r="A53" s="129">
        <v>9</v>
      </c>
      <c r="B53" s="143">
        <v>31866.65337778096</v>
      </c>
      <c r="C53" s="143">
        <v>193.94662221903855</v>
      </c>
      <c r="D53" s="143">
        <v>0.4418893595420243</v>
      </c>
      <c r="E53" s="129"/>
      <c r="F53" s="142">
        <v>85</v>
      </c>
      <c r="G53" s="142">
        <v>41145.090000000004</v>
      </c>
      <c r="H53" s="129"/>
      <c r="I53" s="129"/>
      <c r="J53" s="11"/>
      <c r="L53"/>
      <c r="M53"/>
    </row>
    <row r="54" spans="1:13" ht="16.5" thickBot="1">
      <c r="A54" s="130">
        <v>10</v>
      </c>
      <c r="B54" s="144">
        <v>34086.174649574117</v>
      </c>
      <c r="C54" s="144">
        <v>-26.805300213942246</v>
      </c>
      <c r="D54" s="144">
        <v>-6.1073386111840607E-2</v>
      </c>
      <c r="E54" s="129"/>
      <c r="F54" s="142">
        <v>95</v>
      </c>
      <c r="G54" s="142">
        <v>42917.77</v>
      </c>
      <c r="H54" s="129"/>
      <c r="I54" s="129"/>
      <c r="J54" s="11"/>
      <c r="L54"/>
      <c r="M54"/>
    </row>
    <row r="55" spans="1:13">
      <c r="G55" s="200"/>
      <c r="H55" s="200"/>
      <c r="I55" s="200"/>
      <c r="J55"/>
      <c r="K55"/>
      <c r="L55"/>
      <c r="M55"/>
    </row>
    <row r="56" spans="1:13">
      <c r="E56" s="114"/>
      <c r="J56" s="113"/>
      <c r="K56" s="115"/>
      <c r="L56"/>
      <c r="M56"/>
    </row>
    <row r="57" spans="1:13">
      <c r="L57"/>
      <c r="M57"/>
    </row>
    <row r="58" spans="1:13">
      <c r="L58"/>
      <c r="M58"/>
    </row>
  </sheetData>
  <scenarios current="0" show="0">
    <scenario name="NPV scenario 1(Electricité)" locked="1" count="1" user="DVE ICAMPUS" comment="Created by DVE ICAMPUS on 01/07/2025_x000a_Modified by DVE ICAMPUS on 01/07/2025">
      <inputCells r="D56" val="712313537,634435"/>
    </scenario>
  </scenarios>
  <sortState xmlns:xlrd2="http://schemas.microsoft.com/office/spreadsheetml/2017/richdata2" ref="G45:G54">
    <sortCondition ref="G45"/>
  </sortState>
  <mergeCells count="4">
    <mergeCell ref="G55:I55"/>
    <mergeCell ref="F42:G42"/>
    <mergeCell ref="B2:G2"/>
    <mergeCell ref="L2:Q2"/>
  </mergeCells>
  <pageMargins left="0.7" right="0.7" top="0.75" bottom="0.75" header="0.3" footer="0.3"/>
  <pageSetup paperSize="9"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Données1</vt:lpstr>
      <vt:lpstr>Données2</vt:lpstr>
      <vt:lpstr>Graphique1 </vt:lpstr>
      <vt:lpstr>Graphique2</vt:lpstr>
      <vt:lpstr>Regression multiples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DVE ICAMPUS</dc:creator>
  <cp:lastModifiedBy>DVE ICAMPUS</cp:lastModifiedBy>
  <dcterms:created xsi:type="dcterms:W3CDTF">2025-06-19T16:07:41Z</dcterms:created>
  <dcterms:modified xsi:type="dcterms:W3CDTF">2025-07-28T16:49:01Z</dcterms:modified>
</cp:coreProperties>
</file>