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4D2BE8DC-C549-4C1D-88FB-5CE4B84CB74E}" xr6:coauthVersionLast="47" xr6:coauthVersionMax="47" xr10:uidLastSave="{00000000-0000-0000-0000-000000000000}"/>
  <bookViews>
    <workbookView xWindow="-120" yWindow="-120" windowWidth="20730" windowHeight="11040" firstSheet="9" activeTab="9" xr2:uid="{00000000-000D-0000-FFFF-FFFF00000000}"/>
  </bookViews>
  <sheets>
    <sheet name="BOQ" sheetId="10" r:id="rId1"/>
    <sheet name=" Lighting AVG Length" sheetId="11" r:id="rId2"/>
    <sheet name="E Signal AVG Length" sheetId="16" r:id="rId3"/>
    <sheet name="N Sockets AVG Length" sheetId="12" r:id="rId4"/>
    <sheet name="P Sockets AVG Length" sheetId="17" r:id="rId5"/>
    <sheet name="DC&amp;H AVG Length" sheetId="19" r:id="rId6"/>
    <sheet name="Fire alarm AVG Length" sheetId="24" r:id="rId7"/>
    <sheet name="Telephone&amp;Data AVG Length" sheetId="26" r:id="rId8"/>
    <sheet name="CAM AVG Length" sheetId="25" r:id="rId9"/>
    <sheet name="Cable Studying Sheet" sheetId="27" r:id="rId10"/>
    <sheet name="Cable Trunk Studying Sheet" sheetId="28" r:id="rId11"/>
    <sheet name=" Outlets Studying sheet" sheetId="13" r:id="rId12"/>
    <sheet name="Panels Studying sheet" sheetId="29" r:id="rId13"/>
    <sheet name="Device Studying sheet" sheetId="30"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15" i="12" l="1"/>
  <c r="D26" i="30" l="1"/>
  <c r="E26" i="30" s="1"/>
  <c r="F26" i="30" l="1"/>
  <c r="G26" i="30" s="1"/>
  <c r="H26" i="30" s="1"/>
  <c r="I26" i="30" s="1"/>
  <c r="E87" i="10" s="1"/>
  <c r="D13" i="30"/>
  <c r="E13" i="30" s="1"/>
  <c r="D30" i="30"/>
  <c r="E30" i="30" s="1"/>
  <c r="D28" i="30"/>
  <c r="E28" i="30" s="1"/>
  <c r="F28" i="30" s="1"/>
  <c r="G28" i="30" s="1"/>
  <c r="H28" i="30" s="1"/>
  <c r="I28" i="30" s="1"/>
  <c r="E90" i="10" s="1"/>
  <c r="D29" i="30"/>
  <c r="E29" i="30" s="1"/>
  <c r="F29" i="30" s="1"/>
  <c r="D22" i="30"/>
  <c r="E22" i="30" s="1"/>
  <c r="F22" i="30" s="1"/>
  <c r="D19" i="30"/>
  <c r="E19" i="30" s="1"/>
  <c r="F19" i="30" s="1"/>
  <c r="D24" i="30"/>
  <c r="E24" i="30" s="1"/>
  <c r="F24" i="30" s="1"/>
  <c r="D25" i="30"/>
  <c r="E25" i="30" s="1"/>
  <c r="F25" i="30" s="1"/>
  <c r="D15" i="30"/>
  <c r="E15" i="30" s="1"/>
  <c r="D23" i="30"/>
  <c r="E23" i="30" s="1"/>
  <c r="F23" i="30" s="1"/>
  <c r="D20" i="30"/>
  <c r="E20" i="30" s="1"/>
  <c r="D27" i="30"/>
  <c r="E27" i="30" s="1"/>
  <c r="F27" i="30" s="1"/>
  <c r="D14" i="30"/>
  <c r="E14" i="30" s="1"/>
  <c r="D21" i="30"/>
  <c r="E21" i="30" s="1"/>
  <c r="D18" i="30"/>
  <c r="E18" i="30" s="1"/>
  <c r="F13" i="30" l="1"/>
  <c r="G13" i="30" s="1"/>
  <c r="H13" i="30" s="1"/>
  <c r="I13" i="30" s="1"/>
  <c r="E54" i="10" s="1"/>
  <c r="F30" i="30"/>
  <c r="G30" i="30"/>
  <c r="H30" i="30" s="1"/>
  <c r="I30" i="30" s="1"/>
  <c r="E94" i="10" s="1"/>
  <c r="G29" i="30"/>
  <c r="H29" i="30" s="1"/>
  <c r="I29" i="30" s="1"/>
  <c r="E91" i="10" s="1"/>
  <c r="G22" i="30"/>
  <c r="H22" i="30" s="1"/>
  <c r="I22" i="30" s="1"/>
  <c r="E82" i="10" s="1"/>
  <c r="G24" i="30"/>
  <c r="H24" i="30" s="1"/>
  <c r="I24" i="30" s="1"/>
  <c r="E84" i="10" s="1"/>
  <c r="G19" i="30"/>
  <c r="H19" i="30" s="1"/>
  <c r="I19" i="30" s="1"/>
  <c r="E83" i="10" s="1"/>
  <c r="G25" i="30"/>
  <c r="H25" i="30" s="1"/>
  <c r="I25" i="30" s="1"/>
  <c r="E85" i="10" s="1"/>
  <c r="F20" i="30"/>
  <c r="G20" i="30" s="1"/>
  <c r="H20" i="30" s="1"/>
  <c r="I20" i="30" s="1"/>
  <c r="E71" i="10" s="1"/>
  <c r="F15" i="30"/>
  <c r="G15" i="30" s="1"/>
  <c r="H15" i="30" s="1"/>
  <c r="I15" i="30" s="1"/>
  <c r="E59" i="10" s="1"/>
  <c r="G27" i="30"/>
  <c r="H27" i="30" s="1"/>
  <c r="I27" i="30" s="1"/>
  <c r="E88" i="10" s="1"/>
  <c r="G23" i="30"/>
  <c r="H23" i="30" s="1"/>
  <c r="I23" i="30" s="1"/>
  <c r="E70" i="10" s="1"/>
  <c r="F14" i="30"/>
  <c r="G14" i="30" s="1"/>
  <c r="H14" i="30" s="1"/>
  <c r="I14" i="30" s="1"/>
  <c r="F21" i="30"/>
  <c r="G21" i="30" s="1"/>
  <c r="H21" i="30" s="1"/>
  <c r="I21" i="30" s="1"/>
  <c r="E81" i="10" s="1"/>
  <c r="F18" i="30"/>
  <c r="G18" i="30" s="1"/>
  <c r="H18" i="30" s="1"/>
  <c r="I18" i="30" s="1"/>
  <c r="E68" i="10" s="1"/>
  <c r="E58" i="10" l="1"/>
  <c r="D8" i="30" l="1"/>
  <c r="E8" i="30" s="1"/>
  <c r="F8" i="30" l="1"/>
  <c r="G8" i="30" s="1"/>
  <c r="H8" i="30" s="1"/>
  <c r="I8" i="30" s="1"/>
  <c r="E33" i="10" s="1"/>
  <c r="I4" i="25" l="1"/>
  <c r="J4" i="25"/>
  <c r="I5" i="25"/>
  <c r="J5" i="25"/>
  <c r="I6" i="25"/>
  <c r="J6" i="25"/>
  <c r="I7" i="25"/>
  <c r="J7" i="25"/>
  <c r="I8" i="25"/>
  <c r="J8" i="25"/>
  <c r="I9" i="25"/>
  <c r="J9" i="25"/>
  <c r="E8" i="13"/>
  <c r="F3" i="29"/>
  <c r="F4" i="29"/>
  <c r="F2" i="29"/>
  <c r="G3" i="29"/>
  <c r="G4" i="29"/>
  <c r="G2" i="29"/>
  <c r="K8" i="25" l="1"/>
  <c r="L8" i="25" s="1"/>
  <c r="K6" i="25"/>
  <c r="L6" i="25" s="1"/>
  <c r="K7" i="25"/>
  <c r="L7" i="25" s="1"/>
  <c r="K5" i="25"/>
  <c r="L5" i="25" s="1"/>
  <c r="K9" i="25"/>
  <c r="L9" i="25" s="1"/>
  <c r="K4" i="25"/>
  <c r="L4" i="25" s="1"/>
  <c r="D9" i="30" l="1"/>
  <c r="E9" i="30" s="1"/>
  <c r="D7" i="30"/>
  <c r="E7" i="30" s="1"/>
  <c r="D5" i="30"/>
  <c r="E5" i="30" s="1"/>
  <c r="F5" i="30" s="1"/>
  <c r="F9" i="30" l="1"/>
  <c r="G9" i="30" s="1"/>
  <c r="H9" i="30" s="1"/>
  <c r="I9" i="30" s="1"/>
  <c r="E34" i="10" s="1"/>
  <c r="F7" i="30"/>
  <c r="G7" i="30" s="1"/>
  <c r="H7" i="30" s="1"/>
  <c r="I7" i="30" s="1"/>
  <c r="E32" i="10" s="1"/>
  <c r="F32" i="10" s="1"/>
  <c r="G5" i="30"/>
  <c r="H5" i="30" s="1"/>
  <c r="I5" i="30" s="1"/>
  <c r="E28" i="10" s="1"/>
  <c r="I17" i="19" l="1"/>
  <c r="J17" i="19" s="1"/>
  <c r="I4" i="17"/>
  <c r="J4" i="17" s="1"/>
  <c r="K4" i="17" s="1"/>
  <c r="I5" i="17"/>
  <c r="J5" i="17" s="1"/>
  <c r="K5" i="17" s="1"/>
  <c r="I6" i="17"/>
  <c r="J6" i="17" s="1"/>
  <c r="K6" i="17" s="1"/>
  <c r="I7" i="17"/>
  <c r="J7" i="17" s="1"/>
  <c r="K7" i="17" s="1"/>
  <c r="I8" i="17"/>
  <c r="J8" i="17" s="1"/>
  <c r="K8" i="17" s="1"/>
  <c r="I9" i="17"/>
  <c r="J9" i="17" s="1"/>
  <c r="K9" i="17" s="1"/>
  <c r="I10" i="17"/>
  <c r="J10" i="17" s="1"/>
  <c r="K10" i="17" s="1"/>
  <c r="I11" i="17"/>
  <c r="J11" i="17" s="1"/>
  <c r="K11" i="17" s="1"/>
  <c r="I12" i="17"/>
  <c r="J12" i="17" s="1"/>
  <c r="K12" i="17" s="1"/>
  <c r="I13" i="12"/>
  <c r="J13" i="12" s="1"/>
  <c r="K13" i="12" s="1"/>
  <c r="I14" i="12"/>
  <c r="J14" i="12" s="1"/>
  <c r="K14" i="12" s="1"/>
  <c r="H35" i="26"/>
  <c r="I35" i="26" s="1"/>
  <c r="J35" i="26" s="1"/>
  <c r="H36" i="26"/>
  <c r="I36" i="26" s="1"/>
  <c r="J36" i="26" s="1"/>
  <c r="H37" i="26"/>
  <c r="I37" i="26" s="1"/>
  <c r="J37" i="26" s="1"/>
  <c r="H38" i="26"/>
  <c r="I38" i="26" s="1"/>
  <c r="J38" i="26" s="1"/>
  <c r="H39" i="26"/>
  <c r="I39" i="26" s="1"/>
  <c r="J39" i="26" s="1"/>
  <c r="H40" i="26"/>
  <c r="I40" i="26" s="1"/>
  <c r="J40" i="26" s="1"/>
  <c r="H41" i="26"/>
  <c r="I41" i="26" s="1"/>
  <c r="J41" i="26" s="1"/>
  <c r="H42" i="26"/>
  <c r="I42" i="26" s="1"/>
  <c r="J42" i="26" s="1"/>
  <c r="H43" i="26"/>
  <c r="I43" i="26" s="1"/>
  <c r="J43" i="26" s="1"/>
  <c r="I20" i="19" l="1"/>
  <c r="J20" i="19" s="1"/>
  <c r="C7" i="13" s="1"/>
  <c r="K21" i="11" l="1"/>
  <c r="L21" i="11"/>
  <c r="M10" i="11"/>
  <c r="K9" i="11"/>
  <c r="M9" i="11" s="1"/>
  <c r="N9" i="11" s="1"/>
  <c r="L9" i="11"/>
  <c r="K10" i="11"/>
  <c r="L10" i="11"/>
  <c r="M21" i="11" l="1"/>
  <c r="N21" i="11" s="1"/>
  <c r="N10" i="11"/>
  <c r="D16" i="30" l="1"/>
  <c r="E16" i="30" s="1"/>
  <c r="F16" i="30" s="1"/>
  <c r="D12" i="30"/>
  <c r="E12" i="30" s="1"/>
  <c r="F12" i="30" s="1"/>
  <c r="G12" i="30" s="1"/>
  <c r="H12" i="30" s="1"/>
  <c r="I12" i="30" s="1"/>
  <c r="E106" i="10" s="1"/>
  <c r="D3" i="30"/>
  <c r="E3" i="30" s="1"/>
  <c r="D4" i="30"/>
  <c r="E4" i="30" s="1"/>
  <c r="D6" i="30"/>
  <c r="E6" i="30" s="1"/>
  <c r="D11" i="30"/>
  <c r="E11" i="30" s="1"/>
  <c r="D31" i="30"/>
  <c r="E31" i="30" s="1"/>
  <c r="D2" i="30"/>
  <c r="E2" i="30" s="1"/>
  <c r="C31" i="30"/>
  <c r="H4" i="29"/>
  <c r="I4" i="29" s="1"/>
  <c r="H2" i="29"/>
  <c r="I2" i="29" s="1"/>
  <c r="F6" i="30" l="1"/>
  <c r="G6" i="30" s="1"/>
  <c r="H6" i="30" s="1"/>
  <c r="I6" i="30" s="1"/>
  <c r="E27" i="10" s="1"/>
  <c r="F4" i="30"/>
  <c r="G4" i="30" s="1"/>
  <c r="H4" i="30" s="1"/>
  <c r="I4" i="30" s="1"/>
  <c r="F31" i="30"/>
  <c r="G31" i="30" s="1"/>
  <c r="H31" i="30" s="1"/>
  <c r="I31" i="30" s="1"/>
  <c r="E97" i="10" s="1"/>
  <c r="F3" i="30"/>
  <c r="G3" i="30" s="1"/>
  <c r="H3" i="30" s="1"/>
  <c r="I3" i="30" s="1"/>
  <c r="F2" i="30"/>
  <c r="G2" i="30" s="1"/>
  <c r="H2" i="30" s="1"/>
  <c r="I2" i="30" s="1"/>
  <c r="F11" i="30"/>
  <c r="G11" i="30" s="1"/>
  <c r="H11" i="30" s="1"/>
  <c r="I11" i="30" s="1"/>
  <c r="E101" i="10" s="1"/>
  <c r="G16" i="30"/>
  <c r="H16" i="30" s="1"/>
  <c r="I16" i="30" s="1"/>
  <c r="E60" i="10" s="1"/>
  <c r="J2" i="29"/>
  <c r="J4" i="29"/>
  <c r="H3" i="29"/>
  <c r="I3" i="29" l="1"/>
  <c r="J3" i="29" s="1"/>
  <c r="K3" i="29" s="1"/>
  <c r="L3" i="29" s="1"/>
  <c r="M3" i="29" s="1"/>
  <c r="N3" i="29" s="1"/>
  <c r="E38" i="10" s="1"/>
  <c r="E47" i="10"/>
  <c r="E46" i="10"/>
  <c r="E48" i="10"/>
  <c r="E26" i="10"/>
  <c r="E51" i="10"/>
  <c r="K4" i="29"/>
  <c r="L4" i="29" s="1"/>
  <c r="K2" i="29"/>
  <c r="L2" i="29" s="1"/>
  <c r="M2" i="29" s="1"/>
  <c r="N2" i="29" s="1"/>
  <c r="E37" i="10" s="1"/>
  <c r="D3" i="28"/>
  <c r="F3" i="28" s="1"/>
  <c r="G3" i="28" s="1"/>
  <c r="I3" i="28" s="1"/>
  <c r="J3" i="28" s="1"/>
  <c r="K3" i="28" s="1"/>
  <c r="M4" i="29" l="1"/>
  <c r="N4" i="29" s="1"/>
  <c r="E39" i="10" s="1"/>
  <c r="L3" i="28"/>
  <c r="M3" i="28" s="1"/>
  <c r="E17" i="10" l="1"/>
  <c r="F17" i="10" s="1"/>
  <c r="F6" i="27"/>
  <c r="F5" i="27"/>
  <c r="F4" i="27"/>
  <c r="H34" i="26"/>
  <c r="I34" i="26" s="1"/>
  <c r="J34" i="26" s="1"/>
  <c r="H33" i="26"/>
  <c r="I33" i="26" s="1"/>
  <c r="J33" i="26" s="1"/>
  <c r="H32" i="26"/>
  <c r="I32" i="26" s="1"/>
  <c r="J32" i="26" s="1"/>
  <c r="H31" i="26"/>
  <c r="I31" i="26" s="1"/>
  <c r="J31" i="26" s="1"/>
  <c r="H30" i="26"/>
  <c r="I30" i="26" s="1"/>
  <c r="J30" i="26" s="1"/>
  <c r="H29" i="26"/>
  <c r="I29" i="26" s="1"/>
  <c r="J29" i="26" s="1"/>
  <c r="H28" i="26"/>
  <c r="I28" i="26" s="1"/>
  <c r="J28" i="26" s="1"/>
  <c r="H27" i="26"/>
  <c r="I27" i="26" s="1"/>
  <c r="J27" i="26" s="1"/>
  <c r="H26" i="26"/>
  <c r="I26" i="26" s="1"/>
  <c r="J26" i="26" s="1"/>
  <c r="H25" i="26"/>
  <c r="I25" i="26" s="1"/>
  <c r="J25" i="26" s="1"/>
  <c r="H24" i="26"/>
  <c r="I24" i="26" s="1"/>
  <c r="J24" i="26" s="1"/>
  <c r="H23" i="26"/>
  <c r="I23" i="26" s="1"/>
  <c r="J23" i="26" s="1"/>
  <c r="I22" i="26"/>
  <c r="J22" i="26" s="1"/>
  <c r="H22" i="26"/>
  <c r="H21" i="26"/>
  <c r="I21" i="26" s="1"/>
  <c r="J21" i="26" s="1"/>
  <c r="H20" i="26"/>
  <c r="I20" i="26" s="1"/>
  <c r="J20" i="26" s="1"/>
  <c r="H19" i="26"/>
  <c r="I19" i="26" s="1"/>
  <c r="J19" i="26" s="1"/>
  <c r="H18" i="26"/>
  <c r="I18" i="26" s="1"/>
  <c r="J18" i="26" s="1"/>
  <c r="H17" i="26"/>
  <c r="I17" i="26" s="1"/>
  <c r="J17" i="26" s="1"/>
  <c r="H16" i="26"/>
  <c r="I16" i="26" s="1"/>
  <c r="J16" i="26" s="1"/>
  <c r="H15" i="26"/>
  <c r="I15" i="26" s="1"/>
  <c r="J15" i="26" s="1"/>
  <c r="H14" i="26"/>
  <c r="I14" i="26" s="1"/>
  <c r="J14" i="26" s="1"/>
  <c r="H13" i="26"/>
  <c r="I13" i="26" s="1"/>
  <c r="J13" i="26" s="1"/>
  <c r="H12" i="26"/>
  <c r="I12" i="26" s="1"/>
  <c r="J12" i="26" s="1"/>
  <c r="H11" i="26"/>
  <c r="I11" i="26" s="1"/>
  <c r="J11" i="26" s="1"/>
  <c r="H10" i="26"/>
  <c r="I10" i="26" s="1"/>
  <c r="J10" i="26" s="1"/>
  <c r="H9" i="26"/>
  <c r="I9" i="26" s="1"/>
  <c r="J9" i="26" s="1"/>
  <c r="H8" i="26"/>
  <c r="I8" i="26" s="1"/>
  <c r="J8" i="26" s="1"/>
  <c r="H7" i="26"/>
  <c r="I7" i="26" s="1"/>
  <c r="J7" i="26" s="1"/>
  <c r="I6" i="26"/>
  <c r="J6" i="26" s="1"/>
  <c r="H6" i="26"/>
  <c r="H5" i="26"/>
  <c r="I5" i="26" s="1"/>
  <c r="J5" i="26" s="1"/>
  <c r="H4" i="26"/>
  <c r="I4" i="26" s="1"/>
  <c r="J4" i="26" s="1"/>
  <c r="H3" i="26"/>
  <c r="I3" i="26" s="1"/>
  <c r="J3" i="26" s="1"/>
  <c r="H2" i="26"/>
  <c r="I2" i="26" s="1"/>
  <c r="J2" i="26" s="1"/>
  <c r="J3" i="25"/>
  <c r="I3" i="25"/>
  <c r="J2" i="25"/>
  <c r="I2" i="25"/>
  <c r="K8" i="24"/>
  <c r="J8" i="24"/>
  <c r="J3" i="24"/>
  <c r="K3" i="24" s="1"/>
  <c r="L3" i="24" s="1"/>
  <c r="C9" i="13" s="1"/>
  <c r="N9" i="13" s="1"/>
  <c r="H5" i="27" l="1"/>
  <c r="G5" i="27"/>
  <c r="G6" i="27"/>
  <c r="H6" i="27"/>
  <c r="K3" i="25"/>
  <c r="L3" i="25" s="1"/>
  <c r="K2" i="25"/>
  <c r="L2" i="25" s="1"/>
  <c r="F9" i="13"/>
  <c r="G9" i="13" s="1"/>
  <c r="H9" i="13"/>
  <c r="K9" i="13" s="1"/>
  <c r="G4" i="27"/>
  <c r="H4" i="27"/>
  <c r="L8" i="24"/>
  <c r="M8" i="24" s="1"/>
  <c r="C10" i="13" s="1"/>
  <c r="N10" i="13" s="1"/>
  <c r="J44" i="26"/>
  <c r="E5" i="13"/>
  <c r="E7" i="13"/>
  <c r="I6" i="27" l="1"/>
  <c r="J6" i="27" s="1"/>
  <c r="L6" i="27" s="1"/>
  <c r="M6" i="27" s="1"/>
  <c r="N6" i="27" s="1"/>
  <c r="I4" i="27"/>
  <c r="J4" i="27" s="1"/>
  <c r="L4" i="27" s="1"/>
  <c r="M4" i="27" s="1"/>
  <c r="N4" i="27" s="1"/>
  <c r="O4" i="27" s="1"/>
  <c r="P4" i="27" s="1"/>
  <c r="E11" i="10" s="1"/>
  <c r="I5" i="27"/>
  <c r="J5" i="27" s="1"/>
  <c r="L5" i="27" s="1"/>
  <c r="M5" i="27" s="1"/>
  <c r="N5" i="27" s="1"/>
  <c r="O5" i="27" s="1"/>
  <c r="P5" i="27" s="1"/>
  <c r="E12" i="10" s="1"/>
  <c r="J45" i="26"/>
  <c r="C13" i="13" s="1"/>
  <c r="L10" i="25"/>
  <c r="C11" i="13" s="1"/>
  <c r="L9" i="13"/>
  <c r="M9" i="13" s="1"/>
  <c r="O9" i="13" s="1"/>
  <c r="P9" i="13" s="1"/>
  <c r="Q9" i="13" s="1"/>
  <c r="R9" i="13" s="1"/>
  <c r="S9" i="13" s="1"/>
  <c r="E104" i="10" s="1"/>
  <c r="D17" i="30"/>
  <c r="E17" i="30" s="1"/>
  <c r="F17" i="30" s="1"/>
  <c r="G17" i="30" s="1"/>
  <c r="H17" i="30" s="1"/>
  <c r="I17" i="30" s="1"/>
  <c r="E65" i="10" s="1"/>
  <c r="D10" i="30"/>
  <c r="E10" i="30" s="1"/>
  <c r="F10" i="30" s="1"/>
  <c r="G10" i="30" s="1"/>
  <c r="H10" i="30" s="1"/>
  <c r="I10" i="30" s="1"/>
  <c r="E77" i="10" s="1"/>
  <c r="F10" i="13"/>
  <c r="G10" i="13" s="1"/>
  <c r="H10" i="13"/>
  <c r="K10" i="13" s="1"/>
  <c r="F13" i="13"/>
  <c r="G13" i="13" s="1"/>
  <c r="O6" i="27"/>
  <c r="P6" i="27" s="1"/>
  <c r="E13" i="10" s="1"/>
  <c r="F13" i="10" s="1"/>
  <c r="F11" i="13" l="1"/>
  <c r="G11" i="13" s="1"/>
  <c r="H11" i="13"/>
  <c r="K11" i="13" s="1"/>
  <c r="L11" i="13" s="1"/>
  <c r="M11" i="13" s="1"/>
  <c r="O11" i="13" s="1"/>
  <c r="N11" i="13"/>
  <c r="N13" i="13"/>
  <c r="H13" i="13"/>
  <c r="K13" i="13" s="1"/>
  <c r="C12" i="13"/>
  <c r="L13" i="13"/>
  <c r="M13" i="13" s="1"/>
  <c r="L10" i="13"/>
  <c r="M10" i="13" s="1"/>
  <c r="O10" i="13" s="1"/>
  <c r="P10" i="13" s="1"/>
  <c r="Q10" i="13" s="1"/>
  <c r="R10" i="13" s="1"/>
  <c r="S10" i="13" s="1"/>
  <c r="E105" i="10" s="1"/>
  <c r="F105" i="10" s="1"/>
  <c r="P11" i="13"/>
  <c r="Q11" i="13" s="1"/>
  <c r="R11" i="13" s="1"/>
  <c r="S11" i="13" s="1"/>
  <c r="E95" i="10" s="1"/>
  <c r="I3" i="17"/>
  <c r="I2" i="17"/>
  <c r="I3" i="19"/>
  <c r="I4" i="19"/>
  <c r="I5" i="19"/>
  <c r="I6" i="19"/>
  <c r="I7" i="19"/>
  <c r="I8" i="19"/>
  <c r="I9" i="19"/>
  <c r="I10" i="19"/>
  <c r="I11" i="19"/>
  <c r="I12" i="19"/>
  <c r="I13" i="19"/>
  <c r="I14" i="19"/>
  <c r="I15" i="19"/>
  <c r="I16" i="19"/>
  <c r="I2" i="19"/>
  <c r="O13" i="13" l="1"/>
  <c r="P13" i="13" s="1"/>
  <c r="Q13" i="13" s="1"/>
  <c r="R13" i="13" s="1"/>
  <c r="S13" i="13" s="1"/>
  <c r="E74" i="10" s="1"/>
  <c r="H12" i="13"/>
  <c r="K12" i="13" s="1"/>
  <c r="N12" i="13"/>
  <c r="F12" i="13"/>
  <c r="G12" i="13" s="1"/>
  <c r="I2" i="12"/>
  <c r="J2" i="12" s="1"/>
  <c r="K2" i="12" s="1"/>
  <c r="J2" i="19"/>
  <c r="J3" i="19"/>
  <c r="J4" i="19"/>
  <c r="J5" i="19"/>
  <c r="J6" i="19"/>
  <c r="J7" i="19"/>
  <c r="J8" i="19"/>
  <c r="J9" i="19"/>
  <c r="J10" i="19"/>
  <c r="J11" i="19"/>
  <c r="J12" i="19"/>
  <c r="J13" i="19"/>
  <c r="J14" i="19"/>
  <c r="J15" i="19"/>
  <c r="J16" i="19"/>
  <c r="J18" i="19" l="1"/>
  <c r="C8" i="13" s="1"/>
  <c r="L12" i="13"/>
  <c r="M12" i="13" s="1"/>
  <c r="O12" i="13" s="1"/>
  <c r="P12" i="13" s="1"/>
  <c r="Q12" i="13" s="1"/>
  <c r="R12" i="13" s="1"/>
  <c r="S12" i="13" s="1"/>
  <c r="E62" i="10" s="1"/>
  <c r="N7" i="13"/>
  <c r="J3" i="17"/>
  <c r="K3" i="17" s="1"/>
  <c r="J2" i="17"/>
  <c r="K2" i="17" s="1"/>
  <c r="K13" i="17" s="1"/>
  <c r="L2" i="16"/>
  <c r="K2" i="16"/>
  <c r="M2" i="16" s="1"/>
  <c r="N2" i="16" s="1"/>
  <c r="C3" i="13" s="1"/>
  <c r="N3" i="13" s="1"/>
  <c r="C6" i="13" l="1"/>
  <c r="N8" i="13"/>
  <c r="F8" i="13"/>
  <c r="G8" i="13" s="1"/>
  <c r="H8" i="13"/>
  <c r="K8" i="13" s="1"/>
  <c r="L8" i="13" s="1"/>
  <c r="F6" i="13"/>
  <c r="G6" i="13" s="1"/>
  <c r="N6" i="13"/>
  <c r="H7" i="13"/>
  <c r="K7" i="13" s="1"/>
  <c r="F7" i="13"/>
  <c r="G7" i="13" s="1"/>
  <c r="H6" i="13"/>
  <c r="K6" i="13" s="1"/>
  <c r="M8" i="13" l="1"/>
  <c r="O8" i="13"/>
  <c r="P8" i="13" s="1"/>
  <c r="Q8" i="13" s="1"/>
  <c r="R8" i="13" s="1"/>
  <c r="S8" i="13" s="1"/>
  <c r="E30" i="10" s="1"/>
  <c r="L6" i="13"/>
  <c r="M6" i="13" s="1"/>
  <c r="O6" i="13" s="1"/>
  <c r="P6" i="13" s="1"/>
  <c r="L7" i="13"/>
  <c r="L3" i="11"/>
  <c r="L4" i="11"/>
  <c r="L5" i="11"/>
  <c r="L6" i="11"/>
  <c r="L7" i="11"/>
  <c r="L8" i="11"/>
  <c r="L11" i="11"/>
  <c r="L12" i="11"/>
  <c r="L13" i="11"/>
  <c r="L14" i="11"/>
  <c r="L15" i="11"/>
  <c r="L16" i="11"/>
  <c r="L17" i="11"/>
  <c r="L18" i="11"/>
  <c r="L19" i="11"/>
  <c r="L20" i="11"/>
  <c r="K3" i="11"/>
  <c r="K4" i="11"/>
  <c r="K5" i="11"/>
  <c r="K6" i="11"/>
  <c r="K7" i="11"/>
  <c r="K8" i="11"/>
  <c r="K11" i="11"/>
  <c r="K12" i="11"/>
  <c r="K13" i="11"/>
  <c r="K14" i="11"/>
  <c r="K15" i="11"/>
  <c r="K16" i="11"/>
  <c r="K17" i="11"/>
  <c r="K18" i="11"/>
  <c r="K19" i="11"/>
  <c r="K20" i="11"/>
  <c r="M11" i="11" l="1"/>
  <c r="N11" i="11" s="1"/>
  <c r="M5" i="11"/>
  <c r="N5" i="11" s="1"/>
  <c r="M6" i="11"/>
  <c r="N6" i="11" s="1"/>
  <c r="M8" i="11"/>
  <c r="N8" i="11" s="1"/>
  <c r="M4" i="11"/>
  <c r="N4" i="11" s="1"/>
  <c r="M7" i="11"/>
  <c r="N7" i="11" s="1"/>
  <c r="M3" i="11"/>
  <c r="N3" i="11" s="1"/>
  <c r="M13" i="11"/>
  <c r="Q6" i="13"/>
  <c r="R6" i="13" s="1"/>
  <c r="S6" i="13" s="1"/>
  <c r="E23" i="10" s="1"/>
  <c r="F23" i="10" s="1"/>
  <c r="M7" i="13"/>
  <c r="O7" i="13" s="1"/>
  <c r="P7" i="13" s="1"/>
  <c r="Q7" i="13" s="1"/>
  <c r="R7" i="13" s="1"/>
  <c r="S7" i="13" s="1"/>
  <c r="F33" i="10"/>
  <c r="M20" i="11"/>
  <c r="N20" i="11" s="1"/>
  <c r="M19" i="11"/>
  <c r="N19" i="11" s="1"/>
  <c r="M18" i="11"/>
  <c r="N18" i="11" s="1"/>
  <c r="M17" i="11"/>
  <c r="N17" i="11" s="1"/>
  <c r="M16" i="11"/>
  <c r="N16" i="11" s="1"/>
  <c r="M15" i="11"/>
  <c r="N15" i="11"/>
  <c r="M14" i="11"/>
  <c r="N14" i="11" s="1"/>
  <c r="N13" i="11"/>
  <c r="M12" i="11"/>
  <c r="N12" i="11"/>
  <c r="G35" i="11"/>
  <c r="G34" i="11"/>
  <c r="G33" i="11"/>
  <c r="E24" i="10" l="1"/>
  <c r="F24" i="10" s="1"/>
  <c r="I10" i="12"/>
  <c r="J10" i="12" s="1"/>
  <c r="K10" i="12" s="1"/>
  <c r="I11" i="12"/>
  <c r="J11" i="12" s="1"/>
  <c r="K11" i="12" s="1"/>
  <c r="I9" i="12"/>
  <c r="J9" i="12" s="1"/>
  <c r="K9" i="12" s="1"/>
  <c r="I3" i="12"/>
  <c r="J3" i="12" s="1"/>
  <c r="K3" i="12" s="1"/>
  <c r="I4" i="12"/>
  <c r="J4" i="12" s="1"/>
  <c r="K4" i="12" s="1"/>
  <c r="I5" i="12"/>
  <c r="J5" i="12" s="1"/>
  <c r="K5" i="12" s="1"/>
  <c r="I6" i="12"/>
  <c r="J6" i="12" s="1"/>
  <c r="K6" i="12" s="1"/>
  <c r="I7" i="12"/>
  <c r="J7" i="12" s="1"/>
  <c r="K7" i="12" s="1"/>
  <c r="I8" i="12"/>
  <c r="J8" i="12" s="1"/>
  <c r="K8" i="12" s="1"/>
  <c r="I12" i="12"/>
  <c r="J12" i="12" s="1"/>
  <c r="K12" i="12" s="1"/>
  <c r="L2" i="11"/>
  <c r="K2" i="11"/>
  <c r="M2" i="11" l="1"/>
  <c r="N2" i="11" s="1"/>
  <c r="N22" i="11" s="1"/>
  <c r="C2" i="13" s="1"/>
  <c r="C4" i="13"/>
  <c r="F111" i="10"/>
  <c r="F110" i="10"/>
  <c r="F109" i="10"/>
  <c r="F108" i="10"/>
  <c r="F107" i="10"/>
  <c r="F106" i="10"/>
  <c r="F104" i="10"/>
  <c r="F101" i="10"/>
  <c r="F97" i="10"/>
  <c r="F95" i="10"/>
  <c r="F94" i="10"/>
  <c r="F91" i="10"/>
  <c r="F90" i="10"/>
  <c r="F88" i="10"/>
  <c r="F87" i="10"/>
  <c r="F85" i="10"/>
  <c r="F84" i="10"/>
  <c r="F83" i="10"/>
  <c r="F82" i="10"/>
  <c r="F81" i="10"/>
  <c r="F77" i="10"/>
  <c r="F74" i="10"/>
  <c r="F72" i="10"/>
  <c r="F71" i="10"/>
  <c r="F70" i="10"/>
  <c r="F69" i="10"/>
  <c r="F68" i="10"/>
  <c r="F65" i="10"/>
  <c r="F62" i="10"/>
  <c r="F60" i="10"/>
  <c r="F59" i="10"/>
  <c r="F58" i="10"/>
  <c r="F54" i="10"/>
  <c r="F51" i="10"/>
  <c r="F48" i="10"/>
  <c r="F47" i="10"/>
  <c r="F46" i="10"/>
  <c r="F39" i="10"/>
  <c r="F38" i="10"/>
  <c r="F37" i="10"/>
  <c r="F34" i="10"/>
  <c r="F30" i="10"/>
  <c r="F28" i="10"/>
  <c r="F27" i="10"/>
  <c r="F26" i="10"/>
  <c r="N2" i="13" l="1"/>
  <c r="F2" i="13"/>
  <c r="G2" i="13" s="1"/>
  <c r="H2" i="13"/>
  <c r="K2" i="13" s="1"/>
  <c r="F4" i="13"/>
  <c r="G4" i="13" s="1"/>
  <c r="N4" i="13"/>
  <c r="C5" i="13"/>
  <c r="H4" i="13"/>
  <c r="K4" i="13" s="1"/>
  <c r="L2" i="13"/>
  <c r="L4" i="13" l="1"/>
  <c r="M4" i="13" s="1"/>
  <c r="N5" i="13"/>
  <c r="H5" i="13"/>
  <c r="K5" i="13" s="1"/>
  <c r="F5" i="13"/>
  <c r="G5" i="13" s="1"/>
  <c r="M2" i="13"/>
  <c r="O2" i="13" s="1"/>
  <c r="L5" i="13" l="1"/>
  <c r="O4" i="13"/>
  <c r="P4" i="13" s="1"/>
  <c r="P2" i="13"/>
  <c r="Q2" i="13" s="1"/>
  <c r="R2" i="13" s="1"/>
  <c r="S2" i="13" s="1"/>
  <c r="E43" i="10" s="1"/>
  <c r="F43" i="10" s="1"/>
  <c r="Q4" i="13" l="1"/>
  <c r="R4" i="13" s="1"/>
  <c r="S4" i="13" s="1"/>
  <c r="E21" i="10" s="1"/>
  <c r="F21" i="10" s="1"/>
  <c r="M5" i="13"/>
  <c r="O5" i="13" s="1"/>
  <c r="F12" i="10"/>
  <c r="F11" i="10"/>
  <c r="P5" i="13" l="1"/>
  <c r="Q5" i="13" s="1"/>
  <c r="R5" i="13" s="1"/>
  <c r="S5" i="13" s="1"/>
  <c r="E22" i="10" s="1"/>
  <c r="F22" i="10" s="1"/>
  <c r="H3" i="13"/>
  <c r="K3" i="13" s="1"/>
  <c r="F3" i="13"/>
  <c r="G3" i="13" s="1"/>
  <c r="L3" i="13" l="1"/>
  <c r="M3" i="13" l="1"/>
  <c r="O3" i="13" s="1"/>
  <c r="P3" i="13" s="1"/>
  <c r="Q3" i="13" l="1"/>
  <c r="R3" i="13" s="1"/>
  <c r="S3" i="13" s="1"/>
  <c r="E44" i="10" s="1"/>
  <c r="F44" i="10" s="1"/>
  <c r="F112" i="10"/>
</calcChain>
</file>

<file path=xl/sharedStrings.xml><?xml version="1.0" encoding="utf-8"?>
<sst xmlns="http://schemas.openxmlformats.org/spreadsheetml/2006/main" count="644" uniqueCount="302">
  <si>
    <t>Discription</t>
  </si>
  <si>
    <t>Qty</t>
  </si>
  <si>
    <t>Total price</t>
  </si>
  <si>
    <t>Item</t>
  </si>
  <si>
    <t>Unit</t>
  </si>
  <si>
    <t>Specs</t>
  </si>
  <si>
    <t>Rate</t>
  </si>
  <si>
    <t>Amount</t>
  </si>
  <si>
    <t>Electrical</t>
  </si>
  <si>
    <t>The Contractor has to refer to the specifications and drawings for all details related to the works of this division and he is to include for complying with all the requirements contained therein, wether or not they are specifically mentioned within the items description</t>
  </si>
  <si>
    <t>ADMIN BUILDING</t>
  </si>
  <si>
    <t>LOW VOLTAGE FEEDERS</t>
  </si>
  <si>
    <t>A</t>
  </si>
  <si>
    <t>M.T</t>
  </si>
  <si>
    <t>B</t>
  </si>
  <si>
    <t>C</t>
  </si>
  <si>
    <t>D</t>
  </si>
  <si>
    <t>E</t>
  </si>
  <si>
    <t>F</t>
  </si>
  <si>
    <t>WIRING DEVICES</t>
  </si>
  <si>
    <t>Socket Outlets :</t>
  </si>
  <si>
    <t>Supply, install, test and put into operation socket outlet with all required accessories copper cables, EMT(exposed conduits, draw boxes,connector,bands,..etc)according to drawings and specs.</t>
  </si>
  <si>
    <t>Single phase single socket outlet with 3*3sqmm CU XLPE/PVC cables</t>
  </si>
  <si>
    <t>Nr</t>
  </si>
  <si>
    <t>Single phase dublex socket outlet with 3*3sqmm CU XLPE/PVC cables</t>
  </si>
  <si>
    <t>Single phase power socket outlet with 3*4sqmm CU XLPE/PVC cables</t>
  </si>
  <si>
    <t>Power accessories :</t>
  </si>
  <si>
    <t>S1</t>
  </si>
  <si>
    <t>S2</t>
  </si>
  <si>
    <t>G</t>
  </si>
  <si>
    <t>S3</t>
  </si>
  <si>
    <t>H</t>
  </si>
  <si>
    <t>I</t>
  </si>
  <si>
    <t>J</t>
  </si>
  <si>
    <t>Isolator Switches outlets (disconnect switches outlets) and install disconnect switch outlet with all required zccessories copper cables, EMT (exposed conduits, draw boxes, connector,bends,..etc)according to drawings and specs.</t>
  </si>
  <si>
    <t>single phase disconnect switch outlet complete with (3*4)sqmm CU XLPE/PVC cables</t>
  </si>
  <si>
    <t>Isolator Switches (disconnect switches)</t>
  </si>
  <si>
    <t>63A, 3PH, 380V, 50HZ-IP54 for ELEVATORS</t>
  </si>
  <si>
    <t>PANEL BOARDS</t>
  </si>
  <si>
    <t>installing, connecting and testing of the panel boards complete with all components as specified and as indicated on the drawings, also including hooking up of all incoming and outgoing feeders, all necessary accessories and ancillary works and materials required for complete installation as specified and as indicated on the drawings for the following panels :-</t>
  </si>
  <si>
    <t>K</t>
  </si>
  <si>
    <t>Install only EUPP-AD</t>
  </si>
  <si>
    <t>LIGHTING INSTALLATION</t>
  </si>
  <si>
    <t>Lighting Outlets :</t>
  </si>
  <si>
    <t>Supply and install with all required accessories (switches, push buttons, copper cables, EMT (exposed conduits, draw boxes, connector bends,..etc)according to drawings and specs</t>
  </si>
  <si>
    <t>lighting outlet with 3*3 sqmm CU ,XLPE/PVC cable.</t>
  </si>
  <si>
    <t>Exit outlet with 3*3sqmm CU ,XLPE/PVC cable</t>
  </si>
  <si>
    <t>Install and test lighting fixtures complete with all reuired accessories for complete installation as per drawing and specs</t>
  </si>
  <si>
    <t>Install only F2</t>
  </si>
  <si>
    <t xml:space="preserve">LIGHTING SWITCHES </t>
  </si>
  <si>
    <t>Single way single gang</t>
  </si>
  <si>
    <t>UNINTERRUPTIBLE POWER SUPPLY SYSTEM</t>
  </si>
  <si>
    <t>Install, test and operate as shon in drawings and specs UPS unit with complete with isolating transformer &amp; all required accessories for complete installations as followings :-</t>
  </si>
  <si>
    <t>TELEPHONE</t>
  </si>
  <si>
    <t>TELEPHONE EQUIOMENT</t>
  </si>
  <si>
    <t>PABX (6 input line ) /(120 output line)</t>
  </si>
  <si>
    <t>Telephone terminal box (TB-G2)(20 pair)</t>
  </si>
  <si>
    <t>Telephone Outlet</t>
  </si>
  <si>
    <t>Telephone fixture</t>
  </si>
  <si>
    <t>STRUCTURED CABLING SYSTEM</t>
  </si>
  <si>
    <t>Router</t>
  </si>
  <si>
    <t>item</t>
  </si>
  <si>
    <t>Main Data Rack include the following :</t>
  </si>
  <si>
    <t>Patch panel (24port)</t>
  </si>
  <si>
    <t>Data switch (24port)</t>
  </si>
  <si>
    <t>Data Outlets</t>
  </si>
  <si>
    <t>Supplying, installing, connecting, testing and commissioning structured cabling system outlets including boxes, faceplates, modules for data outlet and all necessary accessories and ancillary works and materials required for complete installation and operation as specified and as indicated on the drawings for the following items :</t>
  </si>
  <si>
    <t>RJ45 cat 6 cable data outlet</t>
  </si>
  <si>
    <t>Data Fixture</t>
  </si>
  <si>
    <t>RJ45 cat 6 cable data fixture</t>
  </si>
  <si>
    <t>CLOSED CIRCUIT TELEVISION SYSTEM</t>
  </si>
  <si>
    <t xml:space="preserve"> Installing, connecting and testing CCTV system console including free standing moduler security console, operator stations, NVR storage with min 1 month, CCTV switches, patch panel and main keybad and all necessary accessories and ancillary materials required for complete installation and operation as specified and as indicated on the drawings</t>
  </si>
  <si>
    <t>Install only main CCTV rack</t>
  </si>
  <si>
    <t>LCD screen 40'' colored monitor</t>
  </si>
  <si>
    <t>FIBER PATCH PANEL 24 PORT</t>
  </si>
  <si>
    <t>Core switch 24 PORT</t>
  </si>
  <si>
    <t>SWITCHE 24 PORT</t>
  </si>
  <si>
    <t>NVR for 64 channels, complete with CCTV storage for (one month) as specified in dsign drawings</t>
  </si>
  <si>
    <t>HP PC Work Station C/W software</t>
  </si>
  <si>
    <t>CCTV RACK</t>
  </si>
  <si>
    <t>Install only switches</t>
  </si>
  <si>
    <t>CCTV Outlets</t>
  </si>
  <si>
    <t>Supply, installing,connecting and testing CCTV outlets by UTP CAT6 cable including fluke test, the connected backup fiper optic to switches,EMT conduits, fittings back to NVR and connection between switches, Excavation&amp;backfilling and all necessary accessories and ancillary materials and works required for complete installation as specified and as indicated on the drawings</t>
  </si>
  <si>
    <t>L</t>
  </si>
  <si>
    <t>Fiber Optics cable 4 core multicore from main rack to switches</t>
  </si>
  <si>
    <t>M</t>
  </si>
  <si>
    <t>Camera Outlet UTP CAT6</t>
  </si>
  <si>
    <t>CCTV Fixture</t>
  </si>
  <si>
    <t>N</t>
  </si>
  <si>
    <t>Install only CAM 1</t>
  </si>
  <si>
    <t>FIRE ALARM</t>
  </si>
  <si>
    <t>FIRE ALARM CONTROL PANEL</t>
  </si>
  <si>
    <t>DETECTION AND ALARM DEVICES</t>
  </si>
  <si>
    <t>Outlet complete with all required accessories, (2*1.5mm2) fire retardant 150c copper conductor as shown per drawing and specs</t>
  </si>
  <si>
    <t>Ditto as above but for Fire alarm manual station</t>
  </si>
  <si>
    <t>Ceiling addressable Fire Alarm Optical Multisensor Detector-IP54</t>
  </si>
  <si>
    <t>Conventional fire alarm bell 24V DC complete with Strobe Light-IP54</t>
  </si>
  <si>
    <t>Control Module-IP54</t>
  </si>
  <si>
    <t>Fault Isolator</t>
  </si>
  <si>
    <t>Power Supply</t>
  </si>
  <si>
    <t>TOTAL</t>
  </si>
  <si>
    <t>Waste material</t>
  </si>
  <si>
    <t>Install</t>
  </si>
  <si>
    <t>Direct cost</t>
  </si>
  <si>
    <t>Indirect cost</t>
  </si>
  <si>
    <t>Dry cost</t>
  </si>
  <si>
    <t>Overhead</t>
  </si>
  <si>
    <t>Supply and installing, connecting and testing of the main and sub-feeders copper cables multicore type XLPE/PVC including terminations,glands, lugs,tap offs and all necessary accessories, etc … materials required for complete installations as specified and as indicated on the drawings for the following sizes :-</t>
  </si>
  <si>
    <t>BOQ Unit Price</t>
  </si>
  <si>
    <t>Floor</t>
  </si>
  <si>
    <t>Panel</t>
  </si>
  <si>
    <t>Line</t>
  </si>
  <si>
    <t>L1</t>
  </si>
  <si>
    <t>L2</t>
  </si>
  <si>
    <t>L3</t>
  </si>
  <si>
    <t>L4</t>
  </si>
  <si>
    <t>L5</t>
  </si>
  <si>
    <t>L6</t>
  </si>
  <si>
    <t>L7</t>
  </si>
  <si>
    <t>L8</t>
  </si>
  <si>
    <t>L9</t>
  </si>
  <si>
    <t>L10</t>
  </si>
  <si>
    <t>S</t>
  </si>
  <si>
    <t>Slap Level</t>
  </si>
  <si>
    <t>False Ceiling Level</t>
  </si>
  <si>
    <t>Switch Level</t>
  </si>
  <si>
    <t>Panel Level</t>
  </si>
  <si>
    <t>Slab</t>
  </si>
  <si>
    <t>Wall</t>
  </si>
  <si>
    <t>In Between</t>
  </si>
  <si>
    <t>Total Length</t>
  </si>
  <si>
    <t>Average length</t>
  </si>
  <si>
    <t>No of Sockets</t>
  </si>
  <si>
    <t>Socket Level</t>
  </si>
  <si>
    <t>L11</t>
  </si>
  <si>
    <t>L12</t>
  </si>
  <si>
    <t>L13</t>
  </si>
  <si>
    <t>L14</t>
  </si>
  <si>
    <t>L15</t>
  </si>
  <si>
    <t>L16</t>
  </si>
  <si>
    <t>L17</t>
  </si>
  <si>
    <t>L18</t>
  </si>
  <si>
    <t>L19</t>
  </si>
  <si>
    <t>L20</t>
  </si>
  <si>
    <t>L21</t>
  </si>
  <si>
    <t>L22</t>
  </si>
  <si>
    <t>L23</t>
  </si>
  <si>
    <t>L24</t>
  </si>
  <si>
    <t>L25</t>
  </si>
  <si>
    <t>L26</t>
  </si>
  <si>
    <t>L27</t>
  </si>
  <si>
    <t>Lighting</t>
  </si>
  <si>
    <t>Unit Price</t>
  </si>
  <si>
    <t>Total Price</t>
  </si>
  <si>
    <t>Fitting</t>
  </si>
  <si>
    <t>Unit Price(Conduits)</t>
  </si>
  <si>
    <t xml:space="preserve"> Cable AVG Length</t>
  </si>
  <si>
    <t>Total Material</t>
  </si>
  <si>
    <t>Total AVG Length</t>
  </si>
  <si>
    <t>Total AVG Length/Line</t>
  </si>
  <si>
    <t>L28</t>
  </si>
  <si>
    <t>L29</t>
  </si>
  <si>
    <t>L30</t>
  </si>
  <si>
    <t>Total AVG Length/N Line</t>
  </si>
  <si>
    <t>Total AVG Length/P Line</t>
  </si>
  <si>
    <t>E Signal</t>
  </si>
  <si>
    <t>N Socket</t>
  </si>
  <si>
    <t>D Socket</t>
  </si>
  <si>
    <t>P Socket</t>
  </si>
  <si>
    <t>L31</t>
  </si>
  <si>
    <t>L32</t>
  </si>
  <si>
    <t>L33</t>
  </si>
  <si>
    <t>L34</t>
  </si>
  <si>
    <t>L35</t>
  </si>
  <si>
    <t>L36</t>
  </si>
  <si>
    <t>L37</t>
  </si>
  <si>
    <t>L38</t>
  </si>
  <si>
    <t>L39</t>
  </si>
  <si>
    <t>AVG Length</t>
  </si>
  <si>
    <t>Conduits Diameter</t>
  </si>
  <si>
    <t>Ceiling addressable Fire Alarm Optical Multisensor Detector-IP54 / Manual Pull Station / Control Module</t>
  </si>
  <si>
    <t>No of Sensors</t>
  </si>
  <si>
    <t>No of Bells</t>
  </si>
  <si>
    <t>Bell Level</t>
  </si>
  <si>
    <t>No of Cams</t>
  </si>
  <si>
    <t>Cam Level</t>
  </si>
  <si>
    <t>Total AVG Length/line</t>
  </si>
  <si>
    <t>No of Terminal Box</t>
  </si>
  <si>
    <t>Box Level</t>
  </si>
  <si>
    <t>CAM 1</t>
  </si>
  <si>
    <t>PER UNIT(M)</t>
  </si>
  <si>
    <t>Cable</t>
  </si>
  <si>
    <t>Earth</t>
  </si>
  <si>
    <t>Total cable + Earth</t>
  </si>
  <si>
    <t>Lugs</t>
  </si>
  <si>
    <t>Glands</t>
  </si>
  <si>
    <t>Total material</t>
  </si>
  <si>
    <t>install+connect+test cost</t>
  </si>
  <si>
    <t>4*10</t>
  </si>
  <si>
    <t>4*16</t>
  </si>
  <si>
    <t>4*25</t>
  </si>
  <si>
    <t>4*35</t>
  </si>
  <si>
    <t>3*50+25</t>
  </si>
  <si>
    <t>3*70+35</t>
  </si>
  <si>
    <t>3*95+50</t>
  </si>
  <si>
    <t>3*120+70</t>
  </si>
  <si>
    <t>3*150+70</t>
  </si>
  <si>
    <t>3*185+</t>
  </si>
  <si>
    <t>3*240+120</t>
  </si>
  <si>
    <t>3*300+150</t>
  </si>
  <si>
    <t>100:145</t>
  </si>
  <si>
    <t>2*2.5</t>
  </si>
  <si>
    <t>2*1.5</t>
  </si>
  <si>
    <t>Supply</t>
  </si>
  <si>
    <t>Straight Element</t>
  </si>
  <si>
    <t>Fittting</t>
  </si>
  <si>
    <t>Support</t>
  </si>
  <si>
    <t>Waste Material</t>
  </si>
  <si>
    <t>Direct Cost</t>
  </si>
  <si>
    <t>Indirect Cost</t>
  </si>
  <si>
    <t>Dry Cost</t>
  </si>
  <si>
    <t>Total BOQ Price</t>
  </si>
  <si>
    <t>Basement</t>
  </si>
  <si>
    <t>Panels</t>
  </si>
  <si>
    <t>No of MCCB</t>
  </si>
  <si>
    <t>No of 3ph MCB</t>
  </si>
  <si>
    <t>No of 1ph MCB</t>
  </si>
  <si>
    <t>Main C.B(MCCB)(A)</t>
  </si>
  <si>
    <t xml:space="preserve"> Install</t>
  </si>
  <si>
    <t xml:space="preserve">  Transmission and constructing Install</t>
  </si>
  <si>
    <t>Total Install</t>
  </si>
  <si>
    <t>Lighting Fixtures</t>
  </si>
  <si>
    <t>N Socket &amp; Switches</t>
  </si>
  <si>
    <t>RJ45 cat 6 cable data Fixture</t>
  </si>
  <si>
    <t>FACP</t>
  </si>
  <si>
    <t>Fire alarm devices</t>
  </si>
  <si>
    <t>Terminal Box 20 pair</t>
  </si>
  <si>
    <t>DP-B</t>
  </si>
  <si>
    <t>EDP-B</t>
  </si>
  <si>
    <t xml:space="preserve"> </t>
  </si>
  <si>
    <t>L40</t>
  </si>
  <si>
    <t>L41</t>
  </si>
  <si>
    <t>L42</t>
  </si>
  <si>
    <t>Total AVG Length/ D&amp;T Line</t>
  </si>
  <si>
    <t>CABLE Trunk</t>
  </si>
  <si>
    <t>Cable trunk :</t>
  </si>
  <si>
    <t>Supply, and install as shown in drawings &amp; specs .hot dip Galvanize steel 1.5mm  (75*75mm)2mm thickness cable trunk with 1.5mm thickness cover complete with all required accessories for complete installation and grounding :</t>
  </si>
  <si>
    <t>Heater outlet with 3*4sqmm CU XLPE/PVC cables</t>
  </si>
  <si>
    <t>25A, 1PH, 230V, 50HZ-IP54</t>
  </si>
  <si>
    <t>Install only DP-B</t>
  </si>
  <si>
    <t>Install only EDP-B</t>
  </si>
  <si>
    <t>Install only EUPP</t>
  </si>
  <si>
    <t>Install only F1</t>
  </si>
  <si>
    <t>Install only F3</t>
  </si>
  <si>
    <t>RJ45 cat 6 Telephone Outlet</t>
  </si>
  <si>
    <t>RJ45 Telephone Fixture</t>
  </si>
  <si>
    <t>1 loop addressablefire alarm control panel FACP</t>
  </si>
  <si>
    <t>1 PH DC 20 A</t>
  </si>
  <si>
    <t>3 PH DC 63 A</t>
  </si>
  <si>
    <t>L38 H</t>
  </si>
  <si>
    <t>Heater AVG Length</t>
  </si>
  <si>
    <t>Heater</t>
  </si>
  <si>
    <t>DC</t>
  </si>
  <si>
    <t>T.B</t>
  </si>
  <si>
    <t>PATCH PANEL</t>
  </si>
  <si>
    <t xml:space="preserve"> installing, connecting and testing fire alarm addressable Control panels (FACP), complete with the following as specified and as indicated on the drawings, complete with the following :</t>
  </si>
  <si>
    <t xml:space="preserve"> installing, connecting and testing the following fixtures RJ11 and all necessary accessories required for complete installations as specified and as indicated on the drawings</t>
  </si>
  <si>
    <t>Hospital Basement
Electrical works 
Bill of quantities</t>
  </si>
  <si>
    <t>Cable Trunk size</t>
  </si>
  <si>
    <t>Install only 3KVA (3phase/3phase), 400V0 50HZ, 473 VAh runtime.</t>
  </si>
  <si>
    <t>Supplying(Outlet only), installing, connecting, testing and commissioning telephone system including telephone terminal box, outlets, termination and all necessary accessories and ancillary works and materials required for complete installation and operation as specified and as indicated on the drawings for the following items refer to schematic diagram :-</t>
  </si>
  <si>
    <t>Main distribution frame (MDF)(20 pair)</t>
  </si>
  <si>
    <t>50mm width *50mm height</t>
  </si>
  <si>
    <t>50mm width * 50mm height</t>
  </si>
  <si>
    <t>1 PH DC 25 A</t>
  </si>
  <si>
    <t>DP-B+EDP-B</t>
  </si>
  <si>
    <t>20A, 1PH, 230V, 50HZ-IP54</t>
  </si>
  <si>
    <t>Supplying(outlet only), installing, connecting and testing fire alarm station with control modules, monitor modules, circuit isolators including PVC fire retardant conduits for imbedded installation, EMT for exposed installation, complete with conduits fitting, back boxes, junction boxes, fire retardant cable, complete with devices and all necessary ancillary works and material for complete installation starting from the outlet and back to the fir alarm control panel as specified and as indicated on the drawings for the following items :</t>
  </si>
  <si>
    <t xml:space="preserve"> installing, connecting and testing CCTV system console including free standing moduler security console, operator stations, NVR storage with min 1 month, CCTV switches, patch panel and main keybad and all necessary accessories and ancillary materials required for complete installation and operation as specified and as indicated on the drawings</t>
  </si>
  <si>
    <t xml:space="preserve"> Installing, connecting, testing and commissioning structured cabling system including router, data rack, conduit,conduit fitings and all necessary accessories and ancillary works and materials required for complete installation and operation as specified and as indicated on the drawings for the following :</t>
  </si>
  <si>
    <t xml:space="preserve"> Install, test and operate lighting switches as shown per drawings and specs for complete installations</t>
  </si>
  <si>
    <t>4*25+16mm2 TO FEED DP-B fed from SMDP</t>
  </si>
  <si>
    <t>4*25+16Emm2 TO EUPP fed from ESMDP</t>
  </si>
  <si>
    <t>4*10+10Emm2 TO FEED EDP-B fed from ESMDP</t>
  </si>
  <si>
    <t>Main distribution frame (MDF)</t>
  </si>
  <si>
    <t xml:space="preserve">PABX </t>
  </si>
  <si>
    <t>Patch Panel (24 port)</t>
  </si>
  <si>
    <t>Data switch (24 port)</t>
  </si>
  <si>
    <t>CCTV Rack</t>
  </si>
  <si>
    <t>UPS</t>
  </si>
  <si>
    <t>Description</t>
  </si>
  <si>
    <t>Telephone</t>
  </si>
  <si>
    <t>DATA</t>
  </si>
  <si>
    <t>LIGHTING</t>
  </si>
  <si>
    <t>SWITCHES &amp;SOCKETS</t>
  </si>
  <si>
    <t>Cable C.S.A(O.D)</t>
  </si>
  <si>
    <t>3*4(13.6)</t>
  </si>
  <si>
    <t>3*3(12.3)</t>
  </si>
  <si>
    <t>3*6(14.7)</t>
  </si>
  <si>
    <t>Cat 6(6.5)</t>
  </si>
  <si>
    <t>No of switches</t>
  </si>
  <si>
    <t>No of fixtures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</si>
</sst>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20"/>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rgb="FFFF505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6" tint="0.59999389629810485"/>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thin">
        <color indexed="64"/>
      </top>
      <bottom style="thick">
        <color indexed="64"/>
      </bottom>
      <diagonal/>
    </border>
    <border>
      <left style="medium">
        <color indexed="64"/>
      </left>
      <right style="thick">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bottom/>
      <diagonal/>
    </border>
    <border>
      <left/>
      <right style="medium">
        <color indexed="64"/>
      </right>
      <top style="medium">
        <color indexed="64"/>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top style="thick">
        <color auto="1"/>
      </top>
      <bottom style="thick">
        <color auto="1"/>
      </bottom>
      <diagonal/>
    </border>
    <border>
      <left style="thick">
        <color auto="1"/>
      </left>
      <right style="thick">
        <color auto="1"/>
      </right>
      <top/>
      <bottom style="thick">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15">
    <xf numFmtId="0" fontId="0" fillId="0" borderId="0" xfId="0"/>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left" vertical="top"/>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xf numFmtId="0" fontId="3" fillId="0" borderId="4" xfId="0" applyFont="1" applyBorder="1" applyAlignment="1">
      <alignment horizontal="center" vertical="center"/>
    </xf>
    <xf numFmtId="0" fontId="4"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2" borderId="1" xfId="0" applyFont="1" applyFill="1"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0" fillId="2" borderId="3" xfId="0" applyFill="1" applyBorder="1" applyAlignment="1">
      <alignment horizontal="center" vertical="center"/>
    </xf>
    <xf numFmtId="0" fontId="1" fillId="4" borderId="1" xfId="0" applyFont="1" applyFill="1" applyBorder="1" applyAlignment="1">
      <alignment horizontal="center" vertical="center"/>
    </xf>
    <xf numFmtId="0" fontId="0" fillId="0" borderId="16" xfId="0"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4" xfId="0" applyBorder="1" applyAlignment="1">
      <alignment horizontal="center" vertical="center" wrapText="1"/>
    </xf>
    <xf numFmtId="0" fontId="1" fillId="0" borderId="2" xfId="0" applyFont="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0" borderId="1" xfId="0" applyBorder="1" applyAlignment="1">
      <alignment horizontal="center"/>
    </xf>
    <xf numFmtId="0" fontId="1" fillId="0" borderId="1" xfId="0" applyFont="1" applyBorder="1" applyAlignment="1">
      <alignment horizontal="center" wrapText="1"/>
    </xf>
    <xf numFmtId="0" fontId="1" fillId="0" borderId="0" xfId="0" applyFont="1" applyAlignment="1">
      <alignment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6" borderId="6" xfId="0" applyFill="1" applyBorder="1" applyAlignment="1">
      <alignment horizontal="center" vertical="center"/>
    </xf>
    <xf numFmtId="0" fontId="0" fillId="6" borderId="12" xfId="0" applyFill="1" applyBorder="1" applyAlignment="1">
      <alignment horizontal="center" vertical="center"/>
    </xf>
    <xf numFmtId="0" fontId="0" fillId="6" borderId="10" xfId="0" applyFill="1" applyBorder="1" applyAlignment="1">
      <alignment horizontal="center" vertical="center"/>
    </xf>
    <xf numFmtId="0" fontId="0" fillId="6" borderId="3"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0" xfId="0" applyAlignment="1">
      <alignment horizontal="center"/>
    </xf>
    <xf numFmtId="0" fontId="0" fillId="11" borderId="1" xfId="0" applyFill="1" applyBorder="1" applyAlignment="1">
      <alignment horizontal="center" vertical="center"/>
    </xf>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0" fillId="2"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12" borderId="1" xfId="0" applyFill="1" applyBorder="1" applyAlignment="1">
      <alignment horizontal="center" vertical="center"/>
    </xf>
    <xf numFmtId="0" fontId="1" fillId="8"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4" borderId="1" xfId="0" applyFont="1" applyFill="1" applyBorder="1"/>
    <xf numFmtId="0" fontId="1" fillId="14" borderId="1" xfId="0" applyFont="1" applyFill="1" applyBorder="1" applyAlignment="1">
      <alignment horizontal="center" vertical="center"/>
    </xf>
    <xf numFmtId="0" fontId="2"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center" vertic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1" fillId="2" borderId="13"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4" xfId="0" applyFont="1" applyFill="1" applyBorder="1" applyAlignment="1">
      <alignment horizontal="center" vertical="center"/>
    </xf>
    <xf numFmtId="0" fontId="0" fillId="2" borderId="1" xfId="0" applyFill="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11" xfId="0"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1"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20" fontId="0" fillId="0" borderId="1" xfId="0" applyNumberFormat="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0" borderId="5" xfId="0" applyFont="1" applyBorder="1" applyAlignment="1">
      <alignment horizontal="center"/>
    </xf>
    <xf numFmtId="0" fontId="1" fillId="8" borderId="11" xfId="0" applyFont="1" applyFill="1" applyBorder="1" applyAlignment="1">
      <alignment horizontal="center" vertical="center"/>
    </xf>
    <xf numFmtId="0" fontId="1" fillId="8" borderId="3" xfId="0" applyFont="1" applyFill="1" applyBorder="1" applyAlignment="1">
      <alignment horizontal="center" vertical="center"/>
    </xf>
    <xf numFmtId="0" fontId="1" fillId="13" borderId="1" xfId="0" applyFont="1" applyFill="1" applyBorder="1" applyAlignment="1">
      <alignment horizontal="center" vertical="center"/>
    </xf>
    <xf numFmtId="0" fontId="1" fillId="13" borderId="2" xfId="0" applyFont="1" applyFill="1" applyBorder="1" applyAlignment="1">
      <alignment horizontal="center" vertical="center"/>
    </xf>
    <xf numFmtId="0" fontId="1" fillId="13" borderId="11" xfId="0" applyFont="1" applyFill="1" applyBorder="1" applyAlignment="1">
      <alignment horizontal="center" vertical="center"/>
    </xf>
    <xf numFmtId="0" fontId="1" fillId="13" borderId="3" xfId="0" applyFont="1" applyFill="1" applyBorder="1" applyAlignment="1">
      <alignment horizontal="center" vertical="center"/>
    </xf>
    <xf numFmtId="0" fontId="1" fillId="13" borderId="12" xfId="0" applyFont="1" applyFill="1" applyBorder="1" applyAlignment="1">
      <alignment horizontal="center" vertical="center" wrapText="1"/>
    </xf>
    <xf numFmtId="0" fontId="1" fillId="13" borderId="25" xfId="0" applyFont="1" applyFill="1" applyBorder="1" applyAlignment="1">
      <alignment horizontal="center" vertical="center" wrapText="1"/>
    </xf>
    <xf numFmtId="0" fontId="1" fillId="13" borderId="26" xfId="0" applyFont="1" applyFill="1" applyBorder="1" applyAlignment="1">
      <alignment horizontal="center" vertical="center" wrapText="1"/>
    </xf>
    <xf numFmtId="0" fontId="1" fillId="13" borderId="12" xfId="0" applyFont="1" applyFill="1" applyBorder="1" applyAlignment="1">
      <alignment horizontal="center" vertical="center"/>
    </xf>
    <xf numFmtId="0" fontId="1" fillId="13" borderId="25" xfId="0" applyFont="1" applyFill="1" applyBorder="1" applyAlignment="1">
      <alignment horizontal="center" vertical="center"/>
    </xf>
    <xf numFmtId="0" fontId="1" fillId="13"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505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6</xdr:col>
      <xdr:colOff>0</xdr:colOff>
      <xdr:row>0</xdr:row>
      <xdr:rowOff>66675</xdr:rowOff>
    </xdr:from>
    <xdr:ext cx="2375087" cy="1144303"/>
    <xdr:pic>
      <xdr:nvPicPr>
        <xdr:cNvPr id="2" name="Picture 1">
          <a:extLst>
            <a:ext uri="{FF2B5EF4-FFF2-40B4-BE49-F238E27FC236}">
              <a16:creationId xmlns:a16="http://schemas.microsoft.com/office/drawing/2014/main" id="{9F3AFCCB-7A17-48E5-A6C3-B9BBDEF324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10725" y="66675"/>
          <a:ext cx="2375087" cy="1144303"/>
        </a:xfrm>
        <a:prstGeom prst="rect">
          <a:avLst/>
        </a:prstGeom>
      </xdr:spPr>
    </xdr:pic>
    <xdr:clientData/>
  </xdr:oneCellAnchor>
  <xdr:twoCellAnchor>
    <xdr:from>
      <xdr:col>1</xdr:col>
      <xdr:colOff>571499</xdr:colOff>
      <xdr:row>1</xdr:row>
      <xdr:rowOff>9525</xdr:rowOff>
    </xdr:from>
    <xdr:to>
      <xdr:col>1</xdr:col>
      <xdr:colOff>2028824</xdr:colOff>
      <xdr:row>3</xdr:row>
      <xdr:rowOff>285750</xdr:rowOff>
    </xdr:to>
    <xdr:pic>
      <xdr:nvPicPr>
        <xdr:cNvPr id="3" name="Picture">
          <a:extLst>
            <a:ext uri="{FF2B5EF4-FFF2-40B4-BE49-F238E27FC236}">
              <a16:creationId xmlns:a16="http://schemas.microsoft.com/office/drawing/2014/main" id="{D4DBA1EE-B8D5-4D19-A6B4-27F9AB4D1168}"/>
            </a:ext>
          </a:extLst>
        </xdr:cNvPr>
        <xdr:cNvPicPr preferRelativeResize="0"/>
      </xdr:nvPicPr>
      <xdr:blipFill>
        <a:blip xmlns:r="http://schemas.openxmlformats.org/officeDocument/2006/relationships" r:embed="rId2"/>
        <a:stretch>
          <a:fillRect/>
        </a:stretch>
      </xdr:blipFill>
      <xdr:spPr>
        <a:xfrm>
          <a:off x="1485899" y="200025"/>
          <a:ext cx="1457325" cy="657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BBD2E-86E0-4E79-B331-220E0A608D04}">
  <dimension ref="A1:M112"/>
  <sheetViews>
    <sheetView topLeftCell="B10" zoomScale="85" zoomScaleNormal="85" workbookViewId="0">
      <selection activeCell="F11" sqref="F11"/>
    </sheetView>
  </sheetViews>
  <sheetFormatPr defaultRowHeight="15" x14ac:dyDescent="0.25"/>
  <cols>
    <col min="1" max="1" width="13.7109375" customWidth="1"/>
    <col min="2" max="2" width="64" customWidth="1"/>
    <col min="5" max="6" width="14.28515625" bestFit="1" customWidth="1"/>
  </cols>
  <sheetData>
    <row r="1" spans="1:13" ht="15" customHeight="1" x14ac:dyDescent="0.25">
      <c r="A1" s="65" t="s">
        <v>267</v>
      </c>
      <c r="B1" s="65"/>
      <c r="C1" s="65"/>
      <c r="D1" s="65"/>
      <c r="E1" s="65"/>
      <c r="F1" s="65"/>
      <c r="G1" s="65"/>
      <c r="H1" s="65"/>
      <c r="I1" s="65"/>
      <c r="J1" s="65"/>
      <c r="K1" s="65"/>
      <c r="L1" s="65"/>
      <c r="M1" s="65"/>
    </row>
    <row r="2" spans="1:13" ht="15" customHeight="1" x14ac:dyDescent="0.25">
      <c r="A2" s="65"/>
      <c r="B2" s="65"/>
      <c r="C2" s="65"/>
      <c r="D2" s="65"/>
      <c r="E2" s="65"/>
      <c r="F2" s="65"/>
      <c r="G2" s="65"/>
      <c r="H2" s="65"/>
      <c r="I2" s="65"/>
      <c r="J2" s="65"/>
      <c r="K2" s="65"/>
      <c r="L2" s="65"/>
      <c r="M2" s="65"/>
    </row>
    <row r="3" spans="1:13" ht="15" customHeight="1" x14ac:dyDescent="0.25">
      <c r="A3" s="65"/>
      <c r="B3" s="65"/>
      <c r="C3" s="65"/>
      <c r="D3" s="65"/>
      <c r="E3" s="65"/>
      <c r="F3" s="65"/>
      <c r="G3" s="65"/>
      <c r="H3" s="65"/>
      <c r="I3" s="65"/>
      <c r="J3" s="65"/>
      <c r="K3" s="65"/>
      <c r="L3" s="65"/>
      <c r="M3" s="65"/>
    </row>
    <row r="4" spans="1:13" ht="51" customHeight="1" thickBot="1" x14ac:dyDescent="0.3">
      <c r="A4" s="65"/>
      <c r="B4" s="65"/>
      <c r="C4" s="65"/>
      <c r="D4" s="65"/>
      <c r="E4" s="65"/>
      <c r="F4" s="65"/>
      <c r="G4" s="65"/>
      <c r="H4" s="65"/>
      <c r="I4" s="65"/>
      <c r="J4" s="65"/>
      <c r="K4" s="65"/>
      <c r="L4" s="65"/>
      <c r="M4" s="65"/>
    </row>
    <row r="5" spans="1:13" ht="16.5" thickBot="1" x14ac:dyDescent="0.3">
      <c r="A5" s="1" t="s">
        <v>5</v>
      </c>
      <c r="B5" s="1" t="s">
        <v>0</v>
      </c>
      <c r="C5" s="1" t="s">
        <v>4</v>
      </c>
      <c r="D5" s="1" t="s">
        <v>1</v>
      </c>
      <c r="E5" s="11" t="s">
        <v>6</v>
      </c>
      <c r="F5" s="1" t="s">
        <v>7</v>
      </c>
    </row>
    <row r="6" spans="1:13" ht="16.5" thickBot="1" x14ac:dyDescent="0.3">
      <c r="A6" s="1">
        <v>16000</v>
      </c>
      <c r="B6" s="9" t="s">
        <v>8</v>
      </c>
      <c r="C6" s="2"/>
      <c r="D6" s="2"/>
      <c r="E6" s="12"/>
      <c r="F6" s="2"/>
    </row>
    <row r="7" spans="1:13" ht="79.5" thickBot="1" x14ac:dyDescent="0.3">
      <c r="A7" s="1"/>
      <c r="B7" s="58" t="s">
        <v>9</v>
      </c>
      <c r="C7" s="2"/>
      <c r="D7" s="2"/>
      <c r="E7" s="12"/>
      <c r="F7" s="2"/>
    </row>
    <row r="8" spans="1:13" ht="16.5" thickBot="1" x14ac:dyDescent="0.3">
      <c r="A8" s="1"/>
      <c r="B8" s="1" t="s">
        <v>10</v>
      </c>
      <c r="C8" s="2"/>
      <c r="D8" s="2"/>
      <c r="E8" s="12"/>
      <c r="F8" s="2"/>
    </row>
    <row r="9" spans="1:13" ht="16.5" thickBot="1" x14ac:dyDescent="0.3">
      <c r="A9" s="1">
        <v>16120</v>
      </c>
      <c r="B9" s="1" t="s">
        <v>11</v>
      </c>
      <c r="C9" s="2"/>
      <c r="D9" s="2"/>
      <c r="E9" s="12"/>
      <c r="F9" s="2"/>
    </row>
    <row r="10" spans="1:13" ht="79.5" thickBot="1" x14ac:dyDescent="0.3">
      <c r="A10" s="1"/>
      <c r="B10" s="58" t="s">
        <v>107</v>
      </c>
      <c r="C10" s="2"/>
      <c r="D10" s="2"/>
      <c r="E10" s="12"/>
      <c r="F10" s="2"/>
    </row>
    <row r="11" spans="1:13" ht="16.5" thickBot="1" x14ac:dyDescent="0.3">
      <c r="A11" s="1" t="s">
        <v>12</v>
      </c>
      <c r="B11" s="2" t="s">
        <v>281</v>
      </c>
      <c r="C11" s="2" t="s">
        <v>13</v>
      </c>
      <c r="D11" s="2">
        <v>50</v>
      </c>
      <c r="E11" s="12">
        <f>'Cable Studying Sheet'!P4</f>
        <v>531.87136599999997</v>
      </c>
      <c r="F11" s="2">
        <f>E11*D11</f>
        <v>26593.568299999999</v>
      </c>
    </row>
    <row r="12" spans="1:13" ht="16.5" thickBot="1" x14ac:dyDescent="0.3">
      <c r="A12" s="1" t="s">
        <v>14</v>
      </c>
      <c r="B12" s="2" t="s">
        <v>283</v>
      </c>
      <c r="C12" s="2" t="s">
        <v>13</v>
      </c>
      <c r="D12" s="2">
        <v>50</v>
      </c>
      <c r="E12" s="12">
        <f>'Cable Studying Sheet'!P5</f>
        <v>221.88670399999998</v>
      </c>
      <c r="F12" s="2">
        <f>E12*D12</f>
        <v>11094.3352</v>
      </c>
    </row>
    <row r="13" spans="1:13" ht="16.5" thickBot="1" x14ac:dyDescent="0.3">
      <c r="A13" s="1" t="s">
        <v>15</v>
      </c>
      <c r="B13" s="2" t="s">
        <v>282</v>
      </c>
      <c r="C13" s="2" t="s">
        <v>13</v>
      </c>
      <c r="D13" s="2">
        <v>50</v>
      </c>
      <c r="E13" s="12">
        <f>'Cable Studying Sheet'!P6</f>
        <v>531.87136599999997</v>
      </c>
      <c r="F13" s="2">
        <f>E13*D13</f>
        <v>26593.568299999999</v>
      </c>
    </row>
    <row r="14" spans="1:13" ht="16.5" thickBot="1" x14ac:dyDescent="0.3">
      <c r="A14" s="1">
        <v>16139</v>
      </c>
      <c r="B14" s="1" t="s">
        <v>244</v>
      </c>
      <c r="C14" s="2"/>
      <c r="D14" s="2"/>
      <c r="E14" s="12"/>
      <c r="F14" s="2"/>
    </row>
    <row r="15" spans="1:13" ht="16.5" thickBot="1" x14ac:dyDescent="0.3">
      <c r="A15" s="1"/>
      <c r="B15" s="4" t="s">
        <v>245</v>
      </c>
      <c r="C15" s="2"/>
      <c r="D15" s="2"/>
      <c r="E15" s="12"/>
      <c r="F15" s="2"/>
    </row>
    <row r="16" spans="1:13" ht="63.75" thickBot="1" x14ac:dyDescent="0.3">
      <c r="A16" s="1"/>
      <c r="B16" s="58" t="s">
        <v>246</v>
      </c>
      <c r="C16" s="2"/>
      <c r="D16" s="2"/>
      <c r="E16" s="12"/>
      <c r="F16" s="2"/>
    </row>
    <row r="17" spans="1:6" ht="16.5" thickBot="1" x14ac:dyDescent="0.3">
      <c r="A17" s="1" t="s">
        <v>12</v>
      </c>
      <c r="B17" s="2" t="s">
        <v>272</v>
      </c>
      <c r="C17" s="2" t="s">
        <v>13</v>
      </c>
      <c r="D17" s="2">
        <v>36</v>
      </c>
      <c r="E17" s="12">
        <f>'Cable Trunk Studying Sheet'!M3</f>
        <v>309.46500000000003</v>
      </c>
      <c r="F17" s="2">
        <f>D17*E17</f>
        <v>11140.740000000002</v>
      </c>
    </row>
    <row r="18" spans="1:6" ht="16.5" thickBot="1" x14ac:dyDescent="0.3">
      <c r="A18" s="1">
        <v>16140</v>
      </c>
      <c r="B18" s="2" t="s">
        <v>19</v>
      </c>
      <c r="C18" s="2"/>
      <c r="D18" s="2"/>
      <c r="E18" s="12"/>
      <c r="F18" s="2"/>
    </row>
    <row r="19" spans="1:6" ht="16.5" thickBot="1" x14ac:dyDescent="0.3">
      <c r="A19" s="1"/>
      <c r="B19" s="5" t="s">
        <v>20</v>
      </c>
      <c r="C19" s="2"/>
      <c r="D19" s="2"/>
      <c r="E19" s="12"/>
      <c r="F19" s="2"/>
    </row>
    <row r="20" spans="1:6" ht="48" thickBot="1" x14ac:dyDescent="0.3">
      <c r="A20" s="1"/>
      <c r="B20" s="58" t="s">
        <v>21</v>
      </c>
      <c r="C20" s="2"/>
      <c r="D20" s="2"/>
      <c r="E20" s="12"/>
      <c r="F20" s="2"/>
    </row>
    <row r="21" spans="1:6" ht="32.25" thickBot="1" x14ac:dyDescent="0.3">
      <c r="A21" s="1" t="s">
        <v>12</v>
      </c>
      <c r="B21" s="3" t="s">
        <v>22</v>
      </c>
      <c r="C21" s="2" t="s">
        <v>23</v>
      </c>
      <c r="D21" s="2">
        <v>59</v>
      </c>
      <c r="E21" s="12">
        <f>' Outlets Studying sheet'!S4</f>
        <v>800.7837939046824</v>
      </c>
      <c r="F21" s="2">
        <f>D21*E21</f>
        <v>47246.243840376264</v>
      </c>
    </row>
    <row r="22" spans="1:6" ht="32.25" thickBot="1" x14ac:dyDescent="0.3">
      <c r="A22" s="1" t="s">
        <v>14</v>
      </c>
      <c r="B22" s="3" t="s">
        <v>24</v>
      </c>
      <c r="C22" s="2" t="s">
        <v>23</v>
      </c>
      <c r="D22" s="2">
        <v>20</v>
      </c>
      <c r="E22" s="12">
        <f>' Outlets Studying sheet'!S5</f>
        <v>837.79884216051573</v>
      </c>
      <c r="F22" s="2">
        <f>D22*E22</f>
        <v>16755.976843210316</v>
      </c>
    </row>
    <row r="23" spans="1:6" ht="32.25" thickBot="1" x14ac:dyDescent="0.3">
      <c r="A23" s="1" t="s">
        <v>15</v>
      </c>
      <c r="B23" s="3" t="s">
        <v>25</v>
      </c>
      <c r="C23" s="2" t="s">
        <v>23</v>
      </c>
      <c r="D23" s="2">
        <v>10</v>
      </c>
      <c r="E23" s="12">
        <f>' Outlets Studying sheet'!S6</f>
        <v>1730.2817619749999</v>
      </c>
      <c r="F23" s="2">
        <f>D23*E23</f>
        <v>17302.81761975</v>
      </c>
    </row>
    <row r="24" spans="1:6" ht="16.5" thickBot="1" x14ac:dyDescent="0.3">
      <c r="A24" s="1" t="s">
        <v>16</v>
      </c>
      <c r="B24" s="2" t="s">
        <v>247</v>
      </c>
      <c r="C24" s="2" t="s">
        <v>23</v>
      </c>
      <c r="D24" s="2">
        <v>1</v>
      </c>
      <c r="E24" s="12">
        <f>' Outlets Studying sheet'!S7</f>
        <v>1638.4287489374997</v>
      </c>
      <c r="F24" s="2">
        <f>D24*E24</f>
        <v>1638.4287489374997</v>
      </c>
    </row>
    <row r="25" spans="1:6" ht="16.5" thickBot="1" x14ac:dyDescent="0.3">
      <c r="A25" s="1"/>
      <c r="B25" s="5" t="s">
        <v>26</v>
      </c>
      <c r="C25" s="2"/>
      <c r="D25" s="2"/>
      <c r="E25" s="12"/>
      <c r="F25" s="2"/>
    </row>
    <row r="26" spans="1:6" ht="16.5" thickBot="1" x14ac:dyDescent="0.3">
      <c r="A26" s="1" t="s">
        <v>17</v>
      </c>
      <c r="B26" s="2" t="s">
        <v>27</v>
      </c>
      <c r="C26" s="2" t="s">
        <v>23</v>
      </c>
      <c r="D26" s="2">
        <v>59</v>
      </c>
      <c r="E26" s="12">
        <f>'Device Studying sheet'!I4</f>
        <v>37.18</v>
      </c>
      <c r="F26" s="2">
        <f>E26*D26</f>
        <v>2193.62</v>
      </c>
    </row>
    <row r="27" spans="1:6" ht="16.5" thickBot="1" x14ac:dyDescent="0.3">
      <c r="A27" s="1" t="s">
        <v>18</v>
      </c>
      <c r="B27" s="2" t="s">
        <v>28</v>
      </c>
      <c r="C27" s="2" t="s">
        <v>23</v>
      </c>
      <c r="D27" s="2">
        <v>20</v>
      </c>
      <c r="E27" s="12">
        <f>'Device Studying sheet'!I6</f>
        <v>52.052</v>
      </c>
      <c r="F27" s="2">
        <f>E27*D27</f>
        <v>1041.04</v>
      </c>
    </row>
    <row r="28" spans="1:6" ht="16.5" thickBot="1" x14ac:dyDescent="0.3">
      <c r="A28" s="1" t="s">
        <v>29</v>
      </c>
      <c r="B28" s="2" t="s">
        <v>30</v>
      </c>
      <c r="C28" s="2" t="s">
        <v>23</v>
      </c>
      <c r="D28" s="2">
        <v>10</v>
      </c>
      <c r="E28" s="12">
        <f>'Device Studying sheet'!I5</f>
        <v>59.488000000000007</v>
      </c>
      <c r="F28" s="2">
        <f>E28*D28</f>
        <v>594.88000000000011</v>
      </c>
    </row>
    <row r="29" spans="1:6" ht="63.75" thickBot="1" x14ac:dyDescent="0.3">
      <c r="A29" s="1"/>
      <c r="B29" s="58" t="s">
        <v>34</v>
      </c>
      <c r="C29" s="2"/>
      <c r="D29" s="2"/>
      <c r="E29" s="12"/>
      <c r="F29" s="2"/>
    </row>
    <row r="30" spans="1:6" ht="32.25" thickBot="1" x14ac:dyDescent="0.3">
      <c r="A30" s="1" t="s">
        <v>14</v>
      </c>
      <c r="B30" s="3" t="s">
        <v>35</v>
      </c>
      <c r="C30" s="2" t="s">
        <v>23</v>
      </c>
      <c r="D30" s="2">
        <v>16</v>
      </c>
      <c r="E30" s="12">
        <f>' Outlets Studying sheet'!S8</f>
        <v>2147.4382700976566</v>
      </c>
      <c r="F30" s="2">
        <f>E30*D30</f>
        <v>34359.012321562506</v>
      </c>
    </row>
    <row r="31" spans="1:6" ht="16.5" thickBot="1" x14ac:dyDescent="0.3">
      <c r="A31" s="1"/>
      <c r="B31" s="6" t="s">
        <v>36</v>
      </c>
      <c r="C31" s="2"/>
      <c r="D31" s="2"/>
      <c r="E31" s="12"/>
      <c r="F31" s="2"/>
    </row>
    <row r="32" spans="1:6" ht="16.5" thickBot="1" x14ac:dyDescent="0.3">
      <c r="A32" s="1" t="s">
        <v>16</v>
      </c>
      <c r="B32" s="3" t="s">
        <v>276</v>
      </c>
      <c r="C32" s="2" t="s">
        <v>23</v>
      </c>
      <c r="D32" s="2">
        <v>16</v>
      </c>
      <c r="E32" s="12">
        <f>'Device Studying sheet'!I7</f>
        <v>59.488000000000007</v>
      </c>
      <c r="F32" s="2">
        <f>D32*E32</f>
        <v>951.80800000000011</v>
      </c>
    </row>
    <row r="33" spans="1:6" ht="16.5" thickBot="1" x14ac:dyDescent="0.3">
      <c r="A33" s="1" t="s">
        <v>17</v>
      </c>
      <c r="B33" s="3" t="s">
        <v>248</v>
      </c>
      <c r="C33" s="2" t="s">
        <v>23</v>
      </c>
      <c r="D33" s="2">
        <v>1</v>
      </c>
      <c r="E33" s="12">
        <f>'Device Studying sheet'!I8</f>
        <v>74.36</v>
      </c>
      <c r="F33" s="2">
        <f>D33*E33</f>
        <v>74.36</v>
      </c>
    </row>
    <row r="34" spans="1:6" ht="16.5" thickBot="1" x14ac:dyDescent="0.3">
      <c r="A34" s="1" t="s">
        <v>33</v>
      </c>
      <c r="B34" s="3" t="s">
        <v>37</v>
      </c>
      <c r="C34" s="2" t="s">
        <v>23</v>
      </c>
      <c r="D34" s="2">
        <v>4</v>
      </c>
      <c r="E34" s="12">
        <f>'Device Studying sheet'!I9</f>
        <v>281.08080000000001</v>
      </c>
      <c r="F34" s="2">
        <f>E34*D34</f>
        <v>1124.3232</v>
      </c>
    </row>
    <row r="35" spans="1:6" ht="16.5" thickBot="1" x14ac:dyDescent="0.3">
      <c r="A35" s="1">
        <v>16442</v>
      </c>
      <c r="B35" s="1" t="s">
        <v>38</v>
      </c>
      <c r="C35" s="2"/>
      <c r="D35" s="2"/>
      <c r="E35" s="12"/>
      <c r="F35" s="2"/>
    </row>
    <row r="36" spans="1:6" ht="95.25" thickBot="1" x14ac:dyDescent="0.3">
      <c r="A36" s="1"/>
      <c r="B36" s="58" t="s">
        <v>39</v>
      </c>
      <c r="C36" s="2"/>
      <c r="D36" s="2"/>
      <c r="E36" s="12"/>
      <c r="F36" s="2"/>
    </row>
    <row r="37" spans="1:6" ht="16.5" thickBot="1" x14ac:dyDescent="0.3">
      <c r="A37" s="1" t="s">
        <v>12</v>
      </c>
      <c r="B37" s="3" t="s">
        <v>249</v>
      </c>
      <c r="C37" s="2" t="s">
        <v>23</v>
      </c>
      <c r="D37" s="2">
        <v>1</v>
      </c>
      <c r="E37" s="12">
        <f>'Panels Studying sheet'!N2</f>
        <v>3843.84</v>
      </c>
      <c r="F37" s="2">
        <f>E37*D37</f>
        <v>3843.84</v>
      </c>
    </row>
    <row r="38" spans="1:6" ht="16.5" thickBot="1" x14ac:dyDescent="0.3">
      <c r="A38" s="1" t="s">
        <v>14</v>
      </c>
      <c r="B38" s="3" t="s">
        <v>250</v>
      </c>
      <c r="C38" s="2" t="s">
        <v>23</v>
      </c>
      <c r="D38" s="2">
        <v>1</v>
      </c>
      <c r="E38" s="12">
        <f>'Panels Studying sheet'!N3</f>
        <v>2522.52</v>
      </c>
      <c r="F38" s="2">
        <f>E38*D38</f>
        <v>2522.52</v>
      </c>
    </row>
    <row r="39" spans="1:6" ht="16.5" thickBot="1" x14ac:dyDescent="0.3">
      <c r="A39" s="1" t="s">
        <v>40</v>
      </c>
      <c r="B39" s="3" t="s">
        <v>251</v>
      </c>
      <c r="C39" s="2" t="s">
        <v>23</v>
      </c>
      <c r="D39" s="2">
        <v>1</v>
      </c>
      <c r="E39" s="12">
        <f>'Panels Studying sheet'!N4</f>
        <v>1816.8150000000001</v>
      </c>
      <c r="F39" s="2">
        <f>E39*D39</f>
        <v>1816.8150000000001</v>
      </c>
    </row>
    <row r="40" spans="1:6" ht="16.5" thickBot="1" x14ac:dyDescent="0.3">
      <c r="A40" s="1">
        <v>16511</v>
      </c>
      <c r="B40" s="3" t="s">
        <v>42</v>
      </c>
      <c r="C40" s="2"/>
      <c r="D40" s="2"/>
      <c r="E40" s="12"/>
      <c r="F40" s="2"/>
    </row>
    <row r="41" spans="1:6" ht="16.5" thickBot="1" x14ac:dyDescent="0.3">
      <c r="A41" s="1"/>
      <c r="B41" s="5" t="s">
        <v>43</v>
      </c>
      <c r="C41" s="2"/>
      <c r="D41" s="2"/>
      <c r="E41" s="12"/>
      <c r="F41" s="2"/>
    </row>
    <row r="42" spans="1:6" ht="48" thickBot="1" x14ac:dyDescent="0.3">
      <c r="A42" s="1"/>
      <c r="B42" s="58" t="s">
        <v>44</v>
      </c>
      <c r="C42" s="2"/>
      <c r="D42" s="2"/>
      <c r="E42" s="12"/>
      <c r="F42" s="2"/>
    </row>
    <row r="43" spans="1:6" ht="16.5" thickBot="1" x14ac:dyDescent="0.3">
      <c r="A43" s="1" t="s">
        <v>12</v>
      </c>
      <c r="B43" s="3" t="s">
        <v>45</v>
      </c>
      <c r="C43" s="2" t="s">
        <v>23</v>
      </c>
      <c r="D43" s="2">
        <v>121</v>
      </c>
      <c r="E43" s="12">
        <f>' Outlets Studying sheet'!S2</f>
        <v>525.53420842712478</v>
      </c>
      <c r="F43" s="2">
        <f>E43*D43</f>
        <v>63589.639219682096</v>
      </c>
    </row>
    <row r="44" spans="1:6" ht="16.5" thickBot="1" x14ac:dyDescent="0.3">
      <c r="A44" s="1" t="s">
        <v>14</v>
      </c>
      <c r="B44" s="2" t="s">
        <v>46</v>
      </c>
      <c r="C44" s="2" t="s">
        <v>23</v>
      </c>
      <c r="D44" s="2">
        <v>3</v>
      </c>
      <c r="E44" s="12">
        <f>' Outlets Studying sheet'!S3</f>
        <v>490.44963085624994</v>
      </c>
      <c r="F44" s="2">
        <f>D44*E44</f>
        <v>1471.3488925687498</v>
      </c>
    </row>
    <row r="45" spans="1:6" ht="32.25" thickBot="1" x14ac:dyDescent="0.3">
      <c r="A45" s="1"/>
      <c r="B45" s="58" t="s">
        <v>47</v>
      </c>
      <c r="C45" s="2"/>
      <c r="D45" s="2"/>
      <c r="E45" s="12"/>
      <c r="F45" s="2"/>
    </row>
    <row r="46" spans="1:6" ht="16.5" thickBot="1" x14ac:dyDescent="0.3">
      <c r="A46" s="1" t="s">
        <v>15</v>
      </c>
      <c r="B46" s="2" t="s">
        <v>252</v>
      </c>
      <c r="C46" s="2" t="s">
        <v>23</v>
      </c>
      <c r="D46" s="2">
        <v>94</v>
      </c>
      <c r="E46" s="12">
        <f>'Device Studying sheet'!I2</f>
        <v>104.104</v>
      </c>
      <c r="F46" s="2">
        <f>E46*D46</f>
        <v>9785.7759999999998</v>
      </c>
    </row>
    <row r="47" spans="1:6" ht="16.5" thickBot="1" x14ac:dyDescent="0.3">
      <c r="A47" s="1" t="s">
        <v>16</v>
      </c>
      <c r="B47" s="2" t="s">
        <v>48</v>
      </c>
      <c r="C47" s="2" t="s">
        <v>23</v>
      </c>
      <c r="D47" s="2">
        <v>13</v>
      </c>
      <c r="E47" s="12">
        <f>'Device Studying sheet'!I2</f>
        <v>104.104</v>
      </c>
      <c r="F47" s="2">
        <f>E47*D47</f>
        <v>1353.3520000000001</v>
      </c>
    </row>
    <row r="48" spans="1:6" ht="16.5" thickBot="1" x14ac:dyDescent="0.3">
      <c r="A48" s="1" t="s">
        <v>17</v>
      </c>
      <c r="B48" s="2" t="s">
        <v>253</v>
      </c>
      <c r="C48" s="2" t="s">
        <v>23</v>
      </c>
      <c r="D48" s="2">
        <v>14</v>
      </c>
      <c r="E48" s="12">
        <f>'Device Studying sheet'!I2</f>
        <v>104.104</v>
      </c>
      <c r="F48" s="2">
        <f>E48*D48</f>
        <v>1457.4559999999999</v>
      </c>
    </row>
    <row r="49" spans="1:6" ht="16.5" thickBot="1" x14ac:dyDescent="0.3">
      <c r="A49" s="1"/>
      <c r="B49" s="1" t="s">
        <v>49</v>
      </c>
      <c r="C49" s="2"/>
      <c r="D49" s="2"/>
      <c r="E49" s="12"/>
      <c r="F49" s="2"/>
    </row>
    <row r="50" spans="1:6" ht="32.25" thickBot="1" x14ac:dyDescent="0.3">
      <c r="A50" s="1"/>
      <c r="B50" s="58" t="s">
        <v>280</v>
      </c>
      <c r="C50" s="2"/>
      <c r="D50" s="2"/>
      <c r="E50" s="12"/>
      <c r="F50" s="2"/>
    </row>
    <row r="51" spans="1:6" ht="16.5" thickBot="1" x14ac:dyDescent="0.3">
      <c r="A51" s="1" t="s">
        <v>32</v>
      </c>
      <c r="B51" s="2" t="s">
        <v>50</v>
      </c>
      <c r="C51" s="2" t="s">
        <v>23</v>
      </c>
      <c r="D51" s="2">
        <v>47</v>
      </c>
      <c r="E51" s="12">
        <f>'Device Studying sheet'!I4</f>
        <v>37.18</v>
      </c>
      <c r="F51" s="2">
        <f>E51*D51</f>
        <v>1747.46</v>
      </c>
    </row>
    <row r="52" spans="1:6" ht="16.5" thickBot="1" x14ac:dyDescent="0.3">
      <c r="A52" s="1">
        <v>16242</v>
      </c>
      <c r="B52" s="1" t="s">
        <v>51</v>
      </c>
      <c r="C52" s="2"/>
      <c r="D52" s="2"/>
      <c r="E52" s="12"/>
      <c r="F52" s="2"/>
    </row>
    <row r="53" spans="1:6" ht="48" thickBot="1" x14ac:dyDescent="0.3">
      <c r="A53" s="1"/>
      <c r="B53" s="58" t="s">
        <v>52</v>
      </c>
      <c r="C53" s="2"/>
      <c r="D53" s="2"/>
      <c r="E53" s="12"/>
      <c r="F53" s="2"/>
    </row>
    <row r="54" spans="1:6" ht="32.25" thickBot="1" x14ac:dyDescent="0.3">
      <c r="A54" s="1" t="s">
        <v>12</v>
      </c>
      <c r="B54" s="3" t="s">
        <v>269</v>
      </c>
      <c r="C54" s="2" t="s">
        <v>23</v>
      </c>
      <c r="D54" s="2">
        <v>1</v>
      </c>
      <c r="E54" s="12">
        <f>'Device Studying sheet'!I13</f>
        <v>4461.6000000000004</v>
      </c>
      <c r="F54" s="2">
        <f>E54*D54</f>
        <v>4461.6000000000004</v>
      </c>
    </row>
    <row r="55" spans="1:6" ht="16.5" thickBot="1" x14ac:dyDescent="0.3">
      <c r="A55" s="1">
        <v>16721</v>
      </c>
      <c r="B55" s="1" t="s">
        <v>53</v>
      </c>
      <c r="C55" s="2"/>
      <c r="D55" s="2"/>
      <c r="E55" s="12"/>
      <c r="F55" s="2"/>
    </row>
    <row r="56" spans="1:6" ht="16.5" thickBot="1" x14ac:dyDescent="0.3">
      <c r="A56" s="1"/>
      <c r="B56" s="5" t="s">
        <v>54</v>
      </c>
      <c r="C56" s="2"/>
      <c r="D56" s="2"/>
      <c r="E56" s="12"/>
      <c r="F56" s="2"/>
    </row>
    <row r="57" spans="1:6" ht="95.25" thickBot="1" x14ac:dyDescent="0.3">
      <c r="A57" s="1"/>
      <c r="B57" s="59" t="s">
        <v>270</v>
      </c>
      <c r="C57" s="2"/>
      <c r="D57" s="2"/>
      <c r="E57" s="12"/>
      <c r="F57" s="2"/>
    </row>
    <row r="58" spans="1:6" ht="16.5" thickBot="1" x14ac:dyDescent="0.3">
      <c r="A58" s="1" t="s">
        <v>12</v>
      </c>
      <c r="B58" s="2" t="s">
        <v>271</v>
      </c>
      <c r="C58" s="2" t="s">
        <v>23</v>
      </c>
      <c r="D58" s="2">
        <v>1</v>
      </c>
      <c r="E58" s="12">
        <f>'Device Studying sheet'!I14</f>
        <v>0</v>
      </c>
      <c r="F58" s="2">
        <f t="shared" ref="F58:F81" si="0">E58*D58</f>
        <v>0</v>
      </c>
    </row>
    <row r="59" spans="1:6" ht="16.5" thickBot="1" x14ac:dyDescent="0.3">
      <c r="A59" s="1" t="s">
        <v>14</v>
      </c>
      <c r="B59" s="2" t="s">
        <v>55</v>
      </c>
      <c r="C59" s="2" t="s">
        <v>23</v>
      </c>
      <c r="D59" s="2">
        <v>1</v>
      </c>
      <c r="E59" s="12">
        <f>'Device Studying sheet'!I15</f>
        <v>0</v>
      </c>
      <c r="F59" s="2">
        <f t="shared" si="0"/>
        <v>0</v>
      </c>
    </row>
    <row r="60" spans="1:6" ht="16.5" thickBot="1" x14ac:dyDescent="0.3">
      <c r="A60" s="1" t="s">
        <v>15</v>
      </c>
      <c r="B60" s="2" t="s">
        <v>56</v>
      </c>
      <c r="C60" s="2" t="s">
        <v>23</v>
      </c>
      <c r="D60" s="2">
        <v>1</v>
      </c>
      <c r="E60" s="12">
        <f>'Device Studying sheet'!I16</f>
        <v>743.6</v>
      </c>
      <c r="F60" s="2">
        <f t="shared" si="0"/>
        <v>743.6</v>
      </c>
    </row>
    <row r="61" spans="1:6" ht="16.5" thickBot="1" x14ac:dyDescent="0.3">
      <c r="A61" s="1"/>
      <c r="B61" s="1" t="s">
        <v>57</v>
      </c>
      <c r="C61" s="2"/>
      <c r="D61" s="2"/>
      <c r="E61" s="12"/>
      <c r="F61" s="2"/>
    </row>
    <row r="62" spans="1:6" ht="16.5" thickBot="1" x14ac:dyDescent="0.3">
      <c r="A62" s="1" t="s">
        <v>29</v>
      </c>
      <c r="B62" s="2" t="s">
        <v>254</v>
      </c>
      <c r="C62" s="2" t="s">
        <v>23</v>
      </c>
      <c r="D62" s="2">
        <v>21</v>
      </c>
      <c r="E62" s="12">
        <f>' Outlets Studying sheet'!S12</f>
        <v>631.16461957559534</v>
      </c>
      <c r="F62" s="2">
        <f t="shared" si="0"/>
        <v>13254.457011087503</v>
      </c>
    </row>
    <row r="63" spans="1:6" ht="16.5" thickBot="1" x14ac:dyDescent="0.3">
      <c r="A63" s="1"/>
      <c r="B63" s="1" t="s">
        <v>58</v>
      </c>
      <c r="C63" s="2"/>
      <c r="D63" s="2"/>
      <c r="E63" s="12"/>
      <c r="F63" s="2"/>
    </row>
    <row r="64" spans="1:6" ht="48" thickBot="1" x14ac:dyDescent="0.3">
      <c r="A64" s="1"/>
      <c r="B64" s="58" t="s">
        <v>266</v>
      </c>
      <c r="C64" s="2"/>
      <c r="D64" s="2"/>
      <c r="E64" s="12"/>
      <c r="F64" s="2"/>
    </row>
    <row r="65" spans="1:6" ht="16.5" thickBot="1" x14ac:dyDescent="0.3">
      <c r="A65" s="1" t="s">
        <v>31</v>
      </c>
      <c r="B65" s="2" t="s">
        <v>255</v>
      </c>
      <c r="C65" s="2" t="s">
        <v>23</v>
      </c>
      <c r="D65" s="2">
        <v>21</v>
      </c>
      <c r="E65" s="12">
        <f>'Device Studying sheet'!I17</f>
        <v>0</v>
      </c>
      <c r="F65" s="2">
        <f t="shared" si="0"/>
        <v>0</v>
      </c>
    </row>
    <row r="66" spans="1:6" ht="16.5" thickBot="1" x14ac:dyDescent="0.3">
      <c r="A66" s="1">
        <v>16988</v>
      </c>
      <c r="B66" s="1" t="s">
        <v>59</v>
      </c>
      <c r="C66" s="2"/>
      <c r="D66" s="2"/>
      <c r="E66" s="12"/>
      <c r="F66" s="2"/>
    </row>
    <row r="67" spans="1:6" ht="79.5" thickBot="1" x14ac:dyDescent="0.3">
      <c r="A67" s="1"/>
      <c r="B67" s="58" t="s">
        <v>279</v>
      </c>
      <c r="C67" s="2"/>
      <c r="D67" s="2"/>
      <c r="E67" s="12"/>
      <c r="F67" s="2"/>
    </row>
    <row r="68" spans="1:6" ht="16.5" thickBot="1" x14ac:dyDescent="0.3">
      <c r="A68" s="7" t="s">
        <v>12</v>
      </c>
      <c r="B68" s="7" t="s">
        <v>60</v>
      </c>
      <c r="C68" s="7" t="s">
        <v>61</v>
      </c>
      <c r="D68" s="7">
        <v>2</v>
      </c>
      <c r="E68" s="34">
        <f>'Device Studying sheet'!I18</f>
        <v>29.744000000000003</v>
      </c>
      <c r="F68" s="2">
        <f t="shared" si="0"/>
        <v>59.488000000000007</v>
      </c>
    </row>
    <row r="69" spans="1:6" ht="16.5" thickBot="1" x14ac:dyDescent="0.3">
      <c r="A69" s="7"/>
      <c r="B69" s="8" t="s">
        <v>62</v>
      </c>
      <c r="C69" s="7"/>
      <c r="D69" s="7"/>
      <c r="E69" s="34"/>
      <c r="F69" s="2">
        <f t="shared" si="0"/>
        <v>0</v>
      </c>
    </row>
    <row r="70" spans="1:6" ht="16.5" thickBot="1" x14ac:dyDescent="0.3">
      <c r="A70" s="7"/>
      <c r="B70" s="7" t="s">
        <v>63</v>
      </c>
      <c r="C70" s="7" t="s">
        <v>23</v>
      </c>
      <c r="D70" s="7">
        <v>1</v>
      </c>
      <c r="E70" s="34">
        <f>'Device Studying sheet'!I23</f>
        <v>0</v>
      </c>
      <c r="F70" s="2">
        <f t="shared" si="0"/>
        <v>0</v>
      </c>
    </row>
    <row r="71" spans="1:6" ht="16.5" thickBot="1" x14ac:dyDescent="0.3">
      <c r="A71" s="7"/>
      <c r="B71" s="7" t="s">
        <v>64</v>
      </c>
      <c r="C71" s="7" t="s">
        <v>23</v>
      </c>
      <c r="D71" s="7">
        <v>1</v>
      </c>
      <c r="E71" s="34">
        <f>'Device Studying sheet'!I20</f>
        <v>0</v>
      </c>
      <c r="F71" s="2">
        <f t="shared" si="0"/>
        <v>0</v>
      </c>
    </row>
    <row r="72" spans="1:6" ht="16.5" thickBot="1" x14ac:dyDescent="0.3">
      <c r="A72" s="7"/>
      <c r="B72" s="13" t="s">
        <v>65</v>
      </c>
      <c r="C72" s="7"/>
      <c r="D72" s="7"/>
      <c r="E72" s="34"/>
      <c r="F72" s="2">
        <f t="shared" si="0"/>
        <v>0</v>
      </c>
    </row>
    <row r="73" spans="1:6" ht="90.75" thickBot="1" x14ac:dyDescent="0.3">
      <c r="A73" s="7"/>
      <c r="B73" s="57" t="s">
        <v>66</v>
      </c>
      <c r="C73" s="7"/>
      <c r="D73" s="7"/>
      <c r="E73" s="34"/>
      <c r="F73" s="2"/>
    </row>
    <row r="74" spans="1:6" ht="16.5" thickBot="1" x14ac:dyDescent="0.3">
      <c r="A74" s="7" t="s">
        <v>16</v>
      </c>
      <c r="B74" s="7" t="s">
        <v>67</v>
      </c>
      <c r="C74" s="7" t="s">
        <v>23</v>
      </c>
      <c r="D74" s="7">
        <v>21</v>
      </c>
      <c r="E74" s="34">
        <f>' Outlets Studying sheet'!S13</f>
        <v>631.16461957559534</v>
      </c>
      <c r="F74" s="2">
        <f t="shared" si="0"/>
        <v>13254.457011087503</v>
      </c>
    </row>
    <row r="75" spans="1:6" ht="16.5" thickBot="1" x14ac:dyDescent="0.3">
      <c r="A75" s="7"/>
      <c r="B75" s="13" t="s">
        <v>68</v>
      </c>
      <c r="C75" s="7"/>
      <c r="D75" s="7"/>
      <c r="E75" s="34"/>
      <c r="F75" s="2"/>
    </row>
    <row r="76" spans="1:6" ht="90.75" thickBot="1" x14ac:dyDescent="0.3">
      <c r="A76" s="7"/>
      <c r="B76" s="57" t="s">
        <v>278</v>
      </c>
      <c r="C76" s="7"/>
      <c r="D76" s="7"/>
      <c r="E76" s="34"/>
      <c r="F76" s="2"/>
    </row>
    <row r="77" spans="1:6" ht="16.5" thickBot="1" x14ac:dyDescent="0.3">
      <c r="A77" s="7" t="s">
        <v>17</v>
      </c>
      <c r="B77" s="7" t="s">
        <v>69</v>
      </c>
      <c r="C77" s="7" t="s">
        <v>23</v>
      </c>
      <c r="D77" s="7">
        <v>21</v>
      </c>
      <c r="E77" s="34">
        <f>'Device Studying sheet'!I10</f>
        <v>0</v>
      </c>
      <c r="F77" s="2">
        <f t="shared" si="0"/>
        <v>0</v>
      </c>
    </row>
    <row r="78" spans="1:6" ht="16.5" thickBot="1" x14ac:dyDescent="0.3">
      <c r="A78" s="7">
        <v>16850</v>
      </c>
      <c r="B78" s="13" t="s">
        <v>70</v>
      </c>
      <c r="C78" s="7"/>
      <c r="D78" s="7"/>
      <c r="E78" s="34"/>
      <c r="F78" s="2"/>
    </row>
    <row r="79" spans="1:6" ht="90.75" thickBot="1" x14ac:dyDescent="0.3">
      <c r="A79" s="7"/>
      <c r="B79" s="57" t="s">
        <v>71</v>
      </c>
      <c r="C79" s="7"/>
      <c r="D79" s="7"/>
      <c r="E79" s="34"/>
      <c r="F79" s="2"/>
    </row>
    <row r="80" spans="1:6" ht="16.5" thickBot="1" x14ac:dyDescent="0.3">
      <c r="A80" s="7"/>
      <c r="B80" s="13" t="s">
        <v>72</v>
      </c>
      <c r="C80" s="7"/>
      <c r="D80" s="7"/>
      <c r="E80" s="34"/>
      <c r="F80" s="2"/>
    </row>
    <row r="81" spans="1:6" ht="16.5" thickBot="1" x14ac:dyDescent="0.3">
      <c r="A81" s="7" t="s">
        <v>12</v>
      </c>
      <c r="B81" s="7" t="s">
        <v>73</v>
      </c>
      <c r="C81" s="7" t="s">
        <v>23</v>
      </c>
      <c r="D81" s="7">
        <v>1</v>
      </c>
      <c r="E81" s="34">
        <f>'Device Studying sheet'!I21</f>
        <v>59.488000000000007</v>
      </c>
      <c r="F81" s="2">
        <f t="shared" si="0"/>
        <v>59.488000000000007</v>
      </c>
    </row>
    <row r="82" spans="1:6" ht="16.5" thickBot="1" x14ac:dyDescent="0.3">
      <c r="A82" s="7" t="s">
        <v>14</v>
      </c>
      <c r="B82" s="7" t="s">
        <v>74</v>
      </c>
      <c r="C82" s="7" t="s">
        <v>23</v>
      </c>
      <c r="D82" s="7">
        <v>1</v>
      </c>
      <c r="E82" s="34">
        <f>'Device Studying sheet'!I22</f>
        <v>0</v>
      </c>
      <c r="F82" s="2">
        <f t="shared" ref="F82:F109" si="1">E82*D82</f>
        <v>0</v>
      </c>
    </row>
    <row r="83" spans="1:6" ht="16.5" thickBot="1" x14ac:dyDescent="0.3">
      <c r="A83" s="7" t="s">
        <v>15</v>
      </c>
      <c r="B83" s="7" t="s">
        <v>63</v>
      </c>
      <c r="C83" s="7" t="s">
        <v>23</v>
      </c>
      <c r="D83" s="7">
        <v>1</v>
      </c>
      <c r="E83" s="34">
        <f>'Device Studying sheet'!I19</f>
        <v>0</v>
      </c>
      <c r="F83" s="2">
        <f t="shared" si="1"/>
        <v>0</v>
      </c>
    </row>
    <row r="84" spans="1:6" ht="16.5" thickBot="1" x14ac:dyDescent="0.3">
      <c r="A84" s="7" t="s">
        <v>16</v>
      </c>
      <c r="B84" s="7" t="s">
        <v>75</v>
      </c>
      <c r="C84" s="7" t="s">
        <v>23</v>
      </c>
      <c r="D84" s="7">
        <v>1</v>
      </c>
      <c r="E84" s="34">
        <f>'Device Studying sheet'!I24</f>
        <v>0</v>
      </c>
      <c r="F84" s="2">
        <f t="shared" si="1"/>
        <v>0</v>
      </c>
    </row>
    <row r="85" spans="1:6" ht="16.5" thickBot="1" x14ac:dyDescent="0.3">
      <c r="A85" s="7" t="s">
        <v>17</v>
      </c>
      <c r="B85" s="7" t="s">
        <v>76</v>
      </c>
      <c r="C85" s="7" t="s">
        <v>23</v>
      </c>
      <c r="D85" s="7">
        <v>1</v>
      </c>
      <c r="E85" s="34">
        <f>'Device Studying sheet'!I25</f>
        <v>0</v>
      </c>
      <c r="F85" s="2">
        <f t="shared" si="1"/>
        <v>0</v>
      </c>
    </row>
    <row r="86" spans="1:6" ht="30.75" thickBot="1" x14ac:dyDescent="0.3">
      <c r="A86" s="7" t="s">
        <v>18</v>
      </c>
      <c r="B86" s="57" t="s">
        <v>77</v>
      </c>
      <c r="C86" s="7" t="s">
        <v>23</v>
      </c>
      <c r="D86" s="7">
        <v>1</v>
      </c>
      <c r="E86" s="34"/>
      <c r="F86" s="2"/>
    </row>
    <row r="87" spans="1:6" ht="16.5" thickBot="1" x14ac:dyDescent="0.3">
      <c r="A87" s="7" t="s">
        <v>29</v>
      </c>
      <c r="B87" s="7" t="s">
        <v>78</v>
      </c>
      <c r="C87" s="7" t="s">
        <v>23</v>
      </c>
      <c r="D87" s="7">
        <v>1</v>
      </c>
      <c r="E87" s="34">
        <f>'Device Studying sheet'!I26</f>
        <v>0</v>
      </c>
      <c r="F87" s="2">
        <f t="shared" si="1"/>
        <v>0</v>
      </c>
    </row>
    <row r="88" spans="1:6" ht="16.5" thickBot="1" x14ac:dyDescent="0.3">
      <c r="A88" s="7" t="s">
        <v>32</v>
      </c>
      <c r="B88" s="7" t="s">
        <v>79</v>
      </c>
      <c r="C88" s="7" t="s">
        <v>23</v>
      </c>
      <c r="D88" s="7">
        <v>1</v>
      </c>
      <c r="E88" s="34">
        <f>'Device Studying sheet'!I27</f>
        <v>0</v>
      </c>
      <c r="F88" s="2">
        <f t="shared" si="1"/>
        <v>0</v>
      </c>
    </row>
    <row r="89" spans="1:6" ht="16.5" thickBot="1" x14ac:dyDescent="0.3">
      <c r="A89" s="7"/>
      <c r="B89" s="13" t="s">
        <v>80</v>
      </c>
      <c r="C89" s="7"/>
      <c r="D89" s="7"/>
      <c r="E89" s="34"/>
      <c r="F89" s="2"/>
    </row>
    <row r="90" spans="1:6" ht="16.5" thickBot="1" x14ac:dyDescent="0.3">
      <c r="A90" s="7" t="s">
        <v>33</v>
      </c>
      <c r="B90" s="7" t="s">
        <v>63</v>
      </c>
      <c r="C90" s="7" t="s">
        <v>23</v>
      </c>
      <c r="D90" s="7">
        <v>1</v>
      </c>
      <c r="E90" s="34">
        <f>'Device Studying sheet'!I28</f>
        <v>0</v>
      </c>
      <c r="F90" s="2">
        <f t="shared" si="1"/>
        <v>0</v>
      </c>
    </row>
    <row r="91" spans="1:6" ht="16.5" thickBot="1" x14ac:dyDescent="0.3">
      <c r="A91" s="7" t="s">
        <v>40</v>
      </c>
      <c r="B91" s="7" t="s">
        <v>76</v>
      </c>
      <c r="C91" s="7" t="s">
        <v>23</v>
      </c>
      <c r="D91" s="7">
        <v>1</v>
      </c>
      <c r="E91" s="34">
        <f>'Device Studying sheet'!I29</f>
        <v>0</v>
      </c>
      <c r="F91" s="2">
        <f t="shared" si="1"/>
        <v>0</v>
      </c>
    </row>
    <row r="92" spans="1:6" ht="16.5" thickBot="1" x14ac:dyDescent="0.3">
      <c r="A92" s="7"/>
      <c r="B92" s="13" t="s">
        <v>81</v>
      </c>
      <c r="C92" s="7"/>
      <c r="D92" s="7"/>
      <c r="E92" s="34"/>
      <c r="F92" s="2"/>
    </row>
    <row r="93" spans="1:6" ht="90.75" thickBot="1" x14ac:dyDescent="0.3">
      <c r="A93" s="7"/>
      <c r="B93" s="57" t="s">
        <v>82</v>
      </c>
      <c r="C93" s="7"/>
      <c r="D93" s="7"/>
      <c r="E93" s="34"/>
      <c r="F93" s="2"/>
    </row>
    <row r="94" spans="1:6" ht="16.5" thickBot="1" x14ac:dyDescent="0.3">
      <c r="A94" s="7" t="s">
        <v>83</v>
      </c>
      <c r="B94" s="7" t="s">
        <v>84</v>
      </c>
      <c r="C94" s="7" t="s">
        <v>23</v>
      </c>
      <c r="D94" s="7">
        <v>8</v>
      </c>
      <c r="E94" s="34">
        <f>'Device Studying sheet'!I30</f>
        <v>0</v>
      </c>
      <c r="F94" s="2">
        <f t="shared" si="1"/>
        <v>0</v>
      </c>
    </row>
    <row r="95" spans="1:6" ht="16.5" thickBot="1" x14ac:dyDescent="0.3">
      <c r="A95" s="7" t="s">
        <v>85</v>
      </c>
      <c r="B95" s="7" t="s">
        <v>86</v>
      </c>
      <c r="C95" s="7" t="s">
        <v>23</v>
      </c>
      <c r="D95" s="7">
        <v>8</v>
      </c>
      <c r="E95" s="34">
        <f>' Outlets Studying sheet'!S11</f>
        <v>519.75087961874999</v>
      </c>
      <c r="F95" s="2">
        <f t="shared" si="1"/>
        <v>4158.0070369499999</v>
      </c>
    </row>
    <row r="96" spans="1:6" ht="16.5" thickBot="1" x14ac:dyDescent="0.3">
      <c r="A96" s="7"/>
      <c r="B96" s="13" t="s">
        <v>87</v>
      </c>
      <c r="C96" s="7"/>
      <c r="D96" s="7"/>
      <c r="E96" s="34"/>
      <c r="F96" s="2"/>
    </row>
    <row r="97" spans="1:6" ht="16.5" thickBot="1" x14ac:dyDescent="0.3">
      <c r="A97" s="7" t="s">
        <v>88</v>
      </c>
      <c r="B97" s="7" t="s">
        <v>89</v>
      </c>
      <c r="C97" s="7" t="s">
        <v>23</v>
      </c>
      <c r="D97" s="7">
        <v>8</v>
      </c>
      <c r="E97" s="34">
        <f>'Device Studying sheet'!I31</f>
        <v>520.52</v>
      </c>
      <c r="F97" s="2">
        <f t="shared" si="1"/>
        <v>4164.16</v>
      </c>
    </row>
    <row r="98" spans="1:6" ht="16.5" thickBot="1" x14ac:dyDescent="0.3">
      <c r="A98" s="7">
        <v>13851</v>
      </c>
      <c r="B98" s="13" t="s">
        <v>90</v>
      </c>
      <c r="C98" s="7"/>
      <c r="D98" s="7"/>
      <c r="E98" s="34"/>
      <c r="F98" s="2"/>
    </row>
    <row r="99" spans="1:6" ht="16.5" thickBot="1" x14ac:dyDescent="0.3">
      <c r="A99" s="7"/>
      <c r="B99" s="13" t="s">
        <v>91</v>
      </c>
      <c r="C99" s="7"/>
      <c r="D99" s="7"/>
      <c r="E99" s="34"/>
      <c r="F99" s="2"/>
    </row>
    <row r="100" spans="1:6" ht="45.75" thickBot="1" x14ac:dyDescent="0.3">
      <c r="A100" s="7"/>
      <c r="B100" s="57" t="s">
        <v>265</v>
      </c>
      <c r="C100" s="7"/>
      <c r="D100" s="7"/>
      <c r="E100" s="34"/>
      <c r="F100" s="2"/>
    </row>
    <row r="101" spans="1:6" ht="16.5" thickBot="1" x14ac:dyDescent="0.3">
      <c r="A101" s="7" t="s">
        <v>12</v>
      </c>
      <c r="B101" s="7" t="s">
        <v>256</v>
      </c>
      <c r="C101" s="7" t="s">
        <v>23</v>
      </c>
      <c r="D101" s="7">
        <v>1</v>
      </c>
      <c r="E101" s="34">
        <f>'Device Studying sheet'!I11</f>
        <v>3718</v>
      </c>
      <c r="F101" s="2">
        <f t="shared" si="1"/>
        <v>3718</v>
      </c>
    </row>
    <row r="102" spans="1:6" ht="16.5" thickBot="1" x14ac:dyDescent="0.3">
      <c r="A102" s="7"/>
      <c r="B102" s="13" t="s">
        <v>92</v>
      </c>
      <c r="C102" s="7"/>
      <c r="D102" s="7"/>
      <c r="E102" s="34"/>
      <c r="F102" s="2"/>
    </row>
    <row r="103" spans="1:6" ht="120.75" thickBot="1" x14ac:dyDescent="0.3">
      <c r="A103" s="7"/>
      <c r="B103" s="57" t="s">
        <v>277</v>
      </c>
      <c r="C103" s="7"/>
      <c r="D103" s="7"/>
      <c r="E103" s="34"/>
      <c r="F103" s="2"/>
    </row>
    <row r="104" spans="1:6" ht="30.75" thickBot="1" x14ac:dyDescent="0.3">
      <c r="A104" s="7" t="s">
        <v>14</v>
      </c>
      <c r="B104" s="7" t="s">
        <v>93</v>
      </c>
      <c r="C104" s="7" t="s">
        <v>23</v>
      </c>
      <c r="D104" s="7">
        <v>44</v>
      </c>
      <c r="E104" s="34">
        <f>' Outlets Studying sheet'!S9</f>
        <v>716.07865062500002</v>
      </c>
      <c r="F104" s="2">
        <f t="shared" si="1"/>
        <v>31507.460627500001</v>
      </c>
    </row>
    <row r="105" spans="1:6" ht="30.75" thickBot="1" x14ac:dyDescent="0.3">
      <c r="A105" s="7" t="s">
        <v>15</v>
      </c>
      <c r="B105" s="7" t="s">
        <v>93</v>
      </c>
      <c r="C105" s="7" t="s">
        <v>23</v>
      </c>
      <c r="D105" s="7">
        <v>4</v>
      </c>
      <c r="E105" s="34">
        <f>' Outlets Studying sheet'!S10</f>
        <v>2982.5292756999997</v>
      </c>
      <c r="F105" s="2">
        <f t="shared" si="1"/>
        <v>11930.117102799999</v>
      </c>
    </row>
    <row r="106" spans="1:6" ht="16.5" thickBot="1" x14ac:dyDescent="0.3">
      <c r="A106" s="7" t="s">
        <v>16</v>
      </c>
      <c r="B106" s="7" t="s">
        <v>94</v>
      </c>
      <c r="C106" s="7" t="s">
        <v>23</v>
      </c>
      <c r="D106" s="7">
        <v>4</v>
      </c>
      <c r="E106" s="34">
        <f>'Device Studying sheet'!I12</f>
        <v>148.72</v>
      </c>
      <c r="F106" s="2">
        <f t="shared" si="1"/>
        <v>594.88</v>
      </c>
    </row>
    <row r="107" spans="1:6" ht="16.5" thickBot="1" x14ac:dyDescent="0.3">
      <c r="A107" s="7" t="s">
        <v>17</v>
      </c>
      <c r="B107" s="7" t="s">
        <v>95</v>
      </c>
      <c r="C107" s="7" t="s">
        <v>23</v>
      </c>
      <c r="D107" s="7">
        <v>38</v>
      </c>
      <c r="E107" s="34">
        <v>148.72</v>
      </c>
      <c r="F107" s="2">
        <f t="shared" si="1"/>
        <v>5651.36</v>
      </c>
    </row>
    <row r="108" spans="1:6" ht="16.5" thickBot="1" x14ac:dyDescent="0.3">
      <c r="A108" s="7" t="s">
        <v>29</v>
      </c>
      <c r="B108" s="7" t="s">
        <v>96</v>
      </c>
      <c r="C108" s="7" t="s">
        <v>23</v>
      </c>
      <c r="D108" s="7">
        <v>4</v>
      </c>
      <c r="E108" s="34">
        <v>148.72</v>
      </c>
      <c r="F108" s="2">
        <f t="shared" si="1"/>
        <v>594.88</v>
      </c>
    </row>
    <row r="109" spans="1:6" ht="16.5" thickBot="1" x14ac:dyDescent="0.3">
      <c r="A109" s="7" t="s">
        <v>33</v>
      </c>
      <c r="B109" s="7" t="s">
        <v>97</v>
      </c>
      <c r="C109" s="7" t="s">
        <v>23</v>
      </c>
      <c r="D109" s="7">
        <v>1</v>
      </c>
      <c r="E109" s="34">
        <v>148.72</v>
      </c>
      <c r="F109" s="2">
        <f t="shared" si="1"/>
        <v>148.72</v>
      </c>
    </row>
    <row r="110" spans="1:6" ht="16.5" thickBot="1" x14ac:dyDescent="0.3">
      <c r="A110" s="7" t="s">
        <v>40</v>
      </c>
      <c r="B110" s="7" t="s">
        <v>98</v>
      </c>
      <c r="C110" s="7" t="s">
        <v>23</v>
      </c>
      <c r="D110" s="7">
        <v>2</v>
      </c>
      <c r="E110" s="34">
        <v>148.72</v>
      </c>
      <c r="F110" s="2">
        <f>E110*D110</f>
        <v>297.44</v>
      </c>
    </row>
    <row r="111" spans="1:6" ht="16.5" thickBot="1" x14ac:dyDescent="0.3">
      <c r="A111" s="7" t="s">
        <v>83</v>
      </c>
      <c r="B111" s="7" t="s">
        <v>99</v>
      </c>
      <c r="C111" s="7" t="s">
        <v>23</v>
      </c>
      <c r="D111" s="7">
        <v>1</v>
      </c>
      <c r="E111" s="34">
        <v>148.72</v>
      </c>
      <c r="F111" s="2">
        <f>E111*D111</f>
        <v>148.72</v>
      </c>
    </row>
    <row r="112" spans="1:6" ht="16.5" thickBot="1" x14ac:dyDescent="0.3">
      <c r="A112" s="7"/>
      <c r="B112" s="66" t="s">
        <v>100</v>
      </c>
      <c r="C112" s="67"/>
      <c r="D112" s="67"/>
      <c r="E112" s="67"/>
      <c r="F112" s="2">
        <f>SUM(F6:F111)</f>
        <v>381039.76427551237</v>
      </c>
    </row>
  </sheetData>
  <mergeCells count="2">
    <mergeCell ref="A1:M4"/>
    <mergeCell ref="B112:E1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8989-9223-4E4D-B177-0061796BF1B6}">
  <sheetPr>
    <pageSetUpPr fitToPage="1"/>
  </sheetPr>
  <dimension ref="A1:N35"/>
  <sheetViews>
    <sheetView workbookViewId="0">
      <selection activeCell="G7" sqref="G7"/>
    </sheetView>
  </sheetViews>
  <sheetFormatPr defaultRowHeight="15" x14ac:dyDescent="0.25"/>
  <cols>
    <col min="1" max="1" width="9.85546875" bestFit="1" customWidth="1"/>
    <col min="3" max="3" width="6.42578125" customWidth="1"/>
    <col min="4" max="4" width="13.28515625" bestFit="1" customWidth="1"/>
    <col min="5" max="5" width="14.140625" bestFit="1" customWidth="1"/>
    <col min="6" max="6" width="9.85546875" bestFit="1" customWidth="1"/>
    <col min="7" max="7" width="17.5703125" bestFit="1" customWidth="1"/>
    <col min="8" max="8" width="12" bestFit="1" customWidth="1"/>
    <col min="9" max="9" width="11.140625" bestFit="1" customWidth="1"/>
    <col min="10" max="10" width="5" bestFit="1" customWidth="1"/>
    <col min="11" max="11" width="5.140625" bestFit="1" customWidth="1"/>
    <col min="12" max="12" width="11.140625" bestFit="1" customWidth="1"/>
    <col min="13" max="13" width="11.85546875" bestFit="1" customWidth="1"/>
    <col min="14" max="14" width="14.5703125" bestFit="1" customWidth="1"/>
  </cols>
  <sheetData>
    <row r="1" spans="1:14" ht="15.75" thickBot="1" x14ac:dyDescent="0.3">
      <c r="A1" s="9" t="s">
        <v>109</v>
      </c>
      <c r="B1" s="9" t="s">
        <v>110</v>
      </c>
      <c r="C1" s="9" t="s">
        <v>111</v>
      </c>
      <c r="D1" s="9" t="s">
        <v>301</v>
      </c>
      <c r="E1" s="9" t="s">
        <v>300</v>
      </c>
      <c r="F1" s="63" t="s">
        <v>123</v>
      </c>
      <c r="G1" s="63" t="s">
        <v>124</v>
      </c>
      <c r="H1" s="64" t="s">
        <v>125</v>
      </c>
      <c r="I1" s="64" t="s">
        <v>126</v>
      </c>
      <c r="J1" s="9" t="s">
        <v>127</v>
      </c>
      <c r="K1" s="9" t="s">
        <v>128</v>
      </c>
      <c r="L1" s="9" t="s">
        <v>129</v>
      </c>
      <c r="M1" s="9" t="s">
        <v>130</v>
      </c>
      <c r="N1" s="9" t="s">
        <v>131</v>
      </c>
    </row>
    <row r="2" spans="1:14" ht="15.75" thickBot="1" x14ac:dyDescent="0.3">
      <c r="A2" s="73" t="s">
        <v>222</v>
      </c>
      <c r="B2" s="70" t="s">
        <v>237</v>
      </c>
      <c r="C2" s="45" t="s">
        <v>112</v>
      </c>
      <c r="D2" s="15">
        <v>8</v>
      </c>
      <c r="E2" s="15">
        <v>3</v>
      </c>
      <c r="F2" s="15">
        <v>3.6</v>
      </c>
      <c r="G2" s="15">
        <v>3.1</v>
      </c>
      <c r="H2" s="15">
        <v>1.2</v>
      </c>
      <c r="I2" s="15">
        <v>2</v>
      </c>
      <c r="J2" s="25">
        <v>38.5</v>
      </c>
      <c r="K2" s="15">
        <f>E2*(F2-H2)+(F2-I2)</f>
        <v>8.8000000000000007</v>
      </c>
      <c r="L2" s="15">
        <f>D2*(F2-G2)</f>
        <v>4</v>
      </c>
      <c r="M2" s="15">
        <f>J2+K2+L2</f>
        <v>51.3</v>
      </c>
      <c r="N2" s="15">
        <f>M2/D2</f>
        <v>6.4124999999999996</v>
      </c>
    </row>
    <row r="3" spans="1:14" ht="15.75" thickBot="1" x14ac:dyDescent="0.3">
      <c r="A3" s="73"/>
      <c r="B3" s="70"/>
      <c r="C3" s="45" t="s">
        <v>113</v>
      </c>
      <c r="D3" s="15">
        <v>10</v>
      </c>
      <c r="E3" s="15">
        <v>3</v>
      </c>
      <c r="F3" s="15">
        <v>3.6</v>
      </c>
      <c r="G3" s="15">
        <v>3.1</v>
      </c>
      <c r="H3" s="15">
        <v>1.2</v>
      </c>
      <c r="I3" s="15">
        <v>2</v>
      </c>
      <c r="J3" s="25">
        <v>18</v>
      </c>
      <c r="K3" s="15">
        <f t="shared" ref="K3:K20" si="0">E3*(F3-H3)+(F3-I3)</f>
        <v>8.8000000000000007</v>
      </c>
      <c r="L3" s="15">
        <f t="shared" ref="L3:L20" si="1">D3*(F3-G3)</f>
        <v>5</v>
      </c>
      <c r="M3" s="15">
        <f t="shared" ref="M3:M20" si="2">J3+K3+L3</f>
        <v>31.8</v>
      </c>
      <c r="N3" s="15">
        <f t="shared" ref="N3:N20" si="3">M3/D3</f>
        <v>3.18</v>
      </c>
    </row>
    <row r="4" spans="1:14" ht="15.75" thickBot="1" x14ac:dyDescent="0.3">
      <c r="A4" s="73"/>
      <c r="B4" s="70"/>
      <c r="C4" s="45" t="s">
        <v>114</v>
      </c>
      <c r="D4" s="15">
        <v>10</v>
      </c>
      <c r="E4" s="15">
        <v>3</v>
      </c>
      <c r="F4" s="15">
        <v>3.6</v>
      </c>
      <c r="G4" s="15">
        <v>3.1</v>
      </c>
      <c r="H4" s="15">
        <v>1.2</v>
      </c>
      <c r="I4" s="15">
        <v>2</v>
      </c>
      <c r="J4" s="25">
        <v>36.799999999999997</v>
      </c>
      <c r="K4" s="15">
        <f t="shared" si="0"/>
        <v>8.8000000000000007</v>
      </c>
      <c r="L4" s="15">
        <f t="shared" si="1"/>
        <v>5</v>
      </c>
      <c r="M4" s="15">
        <f t="shared" si="2"/>
        <v>50.599999999999994</v>
      </c>
      <c r="N4" s="15">
        <f t="shared" si="3"/>
        <v>5.0599999999999996</v>
      </c>
    </row>
    <row r="5" spans="1:14" ht="15.75" thickBot="1" x14ac:dyDescent="0.3">
      <c r="A5" s="73"/>
      <c r="B5" s="70"/>
      <c r="C5" s="45" t="s">
        <v>115</v>
      </c>
      <c r="D5" s="15">
        <v>13</v>
      </c>
      <c r="E5" s="15">
        <v>3</v>
      </c>
      <c r="F5" s="15">
        <v>3.6</v>
      </c>
      <c r="G5" s="15">
        <v>3.1</v>
      </c>
      <c r="H5" s="15">
        <v>1.2</v>
      </c>
      <c r="I5" s="15">
        <v>2</v>
      </c>
      <c r="J5" s="25">
        <v>52</v>
      </c>
      <c r="K5" s="15">
        <f t="shared" si="0"/>
        <v>8.8000000000000007</v>
      </c>
      <c r="L5" s="15">
        <f t="shared" si="1"/>
        <v>6.5</v>
      </c>
      <c r="M5" s="15">
        <f t="shared" si="2"/>
        <v>67.3</v>
      </c>
      <c r="N5" s="15">
        <f t="shared" si="3"/>
        <v>5.1769230769230763</v>
      </c>
    </row>
    <row r="6" spans="1:14" ht="15.75" thickBot="1" x14ac:dyDescent="0.3">
      <c r="A6" s="73"/>
      <c r="B6" s="70"/>
      <c r="C6" s="45" t="s">
        <v>116</v>
      </c>
      <c r="D6" s="15">
        <v>16</v>
      </c>
      <c r="E6" s="15">
        <v>4</v>
      </c>
      <c r="F6" s="15">
        <v>3.6</v>
      </c>
      <c r="G6" s="15">
        <v>3.1</v>
      </c>
      <c r="H6" s="15">
        <v>1.2</v>
      </c>
      <c r="I6" s="15">
        <v>2</v>
      </c>
      <c r="J6" s="25">
        <v>53</v>
      </c>
      <c r="K6" s="15">
        <f t="shared" si="0"/>
        <v>11.200000000000001</v>
      </c>
      <c r="L6" s="15">
        <f t="shared" si="1"/>
        <v>8</v>
      </c>
      <c r="M6" s="15">
        <f t="shared" si="2"/>
        <v>72.2</v>
      </c>
      <c r="N6" s="15">
        <f t="shared" si="3"/>
        <v>4.5125000000000002</v>
      </c>
    </row>
    <row r="7" spans="1:14" ht="15.75" thickBot="1" x14ac:dyDescent="0.3">
      <c r="A7" s="73"/>
      <c r="B7" s="70"/>
      <c r="C7" s="45" t="s">
        <v>117</v>
      </c>
      <c r="D7" s="15">
        <v>6</v>
      </c>
      <c r="E7" s="15">
        <v>1</v>
      </c>
      <c r="F7" s="15">
        <v>3.6</v>
      </c>
      <c r="G7" s="15">
        <v>3.1</v>
      </c>
      <c r="H7" s="15">
        <v>1.2</v>
      </c>
      <c r="I7" s="15">
        <v>2</v>
      </c>
      <c r="J7" s="25">
        <v>18.8</v>
      </c>
      <c r="K7" s="15">
        <f t="shared" si="0"/>
        <v>4</v>
      </c>
      <c r="L7" s="15">
        <f t="shared" si="1"/>
        <v>3</v>
      </c>
      <c r="M7" s="15">
        <f t="shared" si="2"/>
        <v>25.8</v>
      </c>
      <c r="N7" s="15">
        <f t="shared" si="3"/>
        <v>4.3</v>
      </c>
    </row>
    <row r="8" spans="1:14" ht="15.75" thickBot="1" x14ac:dyDescent="0.3">
      <c r="A8" s="73"/>
      <c r="B8" s="70"/>
      <c r="C8" s="46" t="s">
        <v>118</v>
      </c>
      <c r="D8" s="19">
        <v>6</v>
      </c>
      <c r="E8" s="19">
        <v>1</v>
      </c>
      <c r="F8" s="19">
        <v>3.6</v>
      </c>
      <c r="G8" s="15">
        <v>3.1</v>
      </c>
      <c r="H8" s="19">
        <v>1.2</v>
      </c>
      <c r="I8" s="19">
        <v>2</v>
      </c>
      <c r="J8" s="26">
        <v>35.799999999999997</v>
      </c>
      <c r="K8" s="19">
        <f t="shared" si="0"/>
        <v>4</v>
      </c>
      <c r="L8" s="19">
        <f t="shared" si="1"/>
        <v>3</v>
      </c>
      <c r="M8" s="15">
        <f t="shared" si="2"/>
        <v>42.8</v>
      </c>
      <c r="N8" s="19">
        <f t="shared" si="3"/>
        <v>7.1333333333333329</v>
      </c>
    </row>
    <row r="9" spans="1:14" ht="15.75" thickBot="1" x14ac:dyDescent="0.3">
      <c r="A9" s="73"/>
      <c r="B9" s="70"/>
      <c r="C9" s="46" t="s">
        <v>119</v>
      </c>
      <c r="D9" s="19">
        <v>6</v>
      </c>
      <c r="E9" s="19">
        <v>0</v>
      </c>
      <c r="F9" s="19">
        <v>3.6</v>
      </c>
      <c r="G9" s="15">
        <v>3.1</v>
      </c>
      <c r="H9" s="19">
        <v>1.2</v>
      </c>
      <c r="I9" s="19">
        <v>2</v>
      </c>
      <c r="J9" s="26">
        <v>18</v>
      </c>
      <c r="K9" s="19">
        <f>E9*(F9-H9)+(F9-I9)</f>
        <v>1.6</v>
      </c>
      <c r="L9" s="19">
        <f>D9*(F9-G9)</f>
        <v>3</v>
      </c>
      <c r="M9" s="15">
        <f t="shared" si="2"/>
        <v>22.6</v>
      </c>
      <c r="N9" s="19">
        <f>M9/D9</f>
        <v>3.7666666666666671</v>
      </c>
    </row>
    <row r="10" spans="1:14" ht="15.75" thickBot="1" x14ac:dyDescent="0.3">
      <c r="A10" s="73"/>
      <c r="B10" s="70"/>
      <c r="C10" s="46" t="s">
        <v>120</v>
      </c>
      <c r="D10" s="19">
        <v>6</v>
      </c>
      <c r="E10" s="19">
        <v>6</v>
      </c>
      <c r="F10" s="19">
        <v>3.6</v>
      </c>
      <c r="G10" s="19">
        <v>3.1</v>
      </c>
      <c r="H10" s="19">
        <v>1.2</v>
      </c>
      <c r="I10" s="19">
        <v>2</v>
      </c>
      <c r="J10" s="26">
        <v>70.5</v>
      </c>
      <c r="K10" s="19">
        <f>E10*(F10-H10)+(F10-I10)</f>
        <v>16.000000000000004</v>
      </c>
      <c r="L10" s="19">
        <f>D10*(F10-G10)</f>
        <v>3</v>
      </c>
      <c r="M10" s="19">
        <f t="shared" si="2"/>
        <v>89.5</v>
      </c>
      <c r="N10" s="19">
        <f>M10/D10</f>
        <v>14.916666666666666</v>
      </c>
    </row>
    <row r="11" spans="1:14" ht="15.75" thickBot="1" x14ac:dyDescent="0.3">
      <c r="A11" s="73"/>
      <c r="B11" s="71"/>
      <c r="C11" s="47" t="s">
        <v>121</v>
      </c>
      <c r="D11" s="21">
        <v>8</v>
      </c>
      <c r="E11" s="21">
        <v>3</v>
      </c>
      <c r="F11" s="21">
        <v>3.6</v>
      </c>
      <c r="G11" s="21">
        <v>3.1</v>
      </c>
      <c r="H11" s="21">
        <v>1.2</v>
      </c>
      <c r="I11" s="21">
        <v>2</v>
      </c>
      <c r="J11" s="27">
        <v>78.3</v>
      </c>
      <c r="K11" s="21">
        <f t="shared" si="0"/>
        <v>8.8000000000000007</v>
      </c>
      <c r="L11" s="21">
        <f t="shared" si="1"/>
        <v>4</v>
      </c>
      <c r="M11" s="21">
        <f t="shared" si="2"/>
        <v>91.1</v>
      </c>
      <c r="N11" s="22">
        <f t="shared" si="3"/>
        <v>11.387499999999999</v>
      </c>
    </row>
    <row r="12" spans="1:14" ht="15.75" thickBot="1" x14ac:dyDescent="0.3">
      <c r="A12" s="73"/>
      <c r="B12" s="72" t="s">
        <v>238</v>
      </c>
      <c r="C12" s="48" t="s">
        <v>112</v>
      </c>
      <c r="D12" s="20">
        <v>5</v>
      </c>
      <c r="E12" s="20">
        <v>3</v>
      </c>
      <c r="F12" s="20">
        <v>3.6</v>
      </c>
      <c r="G12" s="20">
        <v>3.1</v>
      </c>
      <c r="H12" s="20">
        <v>1.2</v>
      </c>
      <c r="I12" s="20">
        <v>2</v>
      </c>
      <c r="J12" s="28">
        <v>37.1</v>
      </c>
      <c r="K12" s="20">
        <f t="shared" si="0"/>
        <v>8.8000000000000007</v>
      </c>
      <c r="L12" s="20">
        <f t="shared" si="1"/>
        <v>2.5</v>
      </c>
      <c r="M12" s="20">
        <f t="shared" si="2"/>
        <v>48.400000000000006</v>
      </c>
      <c r="N12" s="20">
        <f t="shared" si="3"/>
        <v>9.6800000000000015</v>
      </c>
    </row>
    <row r="13" spans="1:14" ht="15.75" thickBot="1" x14ac:dyDescent="0.3">
      <c r="A13" s="73"/>
      <c r="B13" s="70"/>
      <c r="C13" s="48" t="s">
        <v>113</v>
      </c>
      <c r="D13" s="15">
        <v>5</v>
      </c>
      <c r="E13" s="15">
        <v>4</v>
      </c>
      <c r="F13" s="15">
        <v>3.6</v>
      </c>
      <c r="G13" s="15">
        <v>3.1</v>
      </c>
      <c r="H13" s="15">
        <v>1.2</v>
      </c>
      <c r="I13" s="15">
        <v>2</v>
      </c>
      <c r="J13" s="25">
        <v>35</v>
      </c>
      <c r="K13" s="15">
        <f t="shared" si="0"/>
        <v>11.200000000000001</v>
      </c>
      <c r="L13" s="15">
        <f t="shared" si="1"/>
        <v>2.5</v>
      </c>
      <c r="M13" s="15">
        <f t="shared" si="2"/>
        <v>48.7</v>
      </c>
      <c r="N13" s="15">
        <f t="shared" si="3"/>
        <v>9.74</v>
      </c>
    </row>
    <row r="14" spans="1:14" ht="15.75" thickBot="1" x14ac:dyDescent="0.3">
      <c r="A14" s="73"/>
      <c r="B14" s="70"/>
      <c r="C14" s="48" t="s">
        <v>114</v>
      </c>
      <c r="D14" s="15">
        <v>8</v>
      </c>
      <c r="E14" s="15">
        <v>4</v>
      </c>
      <c r="F14" s="15">
        <v>3.6</v>
      </c>
      <c r="G14" s="15">
        <v>3.1</v>
      </c>
      <c r="H14" s="15">
        <v>1.2</v>
      </c>
      <c r="I14" s="15">
        <v>2</v>
      </c>
      <c r="J14" s="25">
        <v>45.7</v>
      </c>
      <c r="K14" s="15">
        <f t="shared" si="0"/>
        <v>11.200000000000001</v>
      </c>
      <c r="L14" s="15">
        <f t="shared" si="1"/>
        <v>4</v>
      </c>
      <c r="M14" s="15">
        <f t="shared" si="2"/>
        <v>60.900000000000006</v>
      </c>
      <c r="N14" s="15">
        <f t="shared" si="3"/>
        <v>7.6125000000000007</v>
      </c>
    </row>
    <row r="15" spans="1:14" ht="15.75" thickBot="1" x14ac:dyDescent="0.3">
      <c r="A15" s="73"/>
      <c r="B15" s="70"/>
      <c r="C15" s="48" t="s">
        <v>115</v>
      </c>
      <c r="D15" s="15">
        <v>5</v>
      </c>
      <c r="E15" s="15">
        <v>3</v>
      </c>
      <c r="F15" s="15">
        <v>3.6</v>
      </c>
      <c r="G15" s="15">
        <v>3.1</v>
      </c>
      <c r="H15" s="15">
        <v>1.2</v>
      </c>
      <c r="I15" s="15">
        <v>2</v>
      </c>
      <c r="J15" s="25">
        <v>32.5</v>
      </c>
      <c r="K15" s="15">
        <f t="shared" si="0"/>
        <v>8.8000000000000007</v>
      </c>
      <c r="L15" s="15">
        <f t="shared" si="1"/>
        <v>2.5</v>
      </c>
      <c r="M15" s="15">
        <f t="shared" si="2"/>
        <v>43.8</v>
      </c>
      <c r="N15" s="15">
        <f t="shared" si="3"/>
        <v>8.76</v>
      </c>
    </row>
    <row r="16" spans="1:14" ht="15.75" thickBot="1" x14ac:dyDescent="0.3">
      <c r="A16" s="73"/>
      <c r="B16" s="70"/>
      <c r="C16" s="48" t="s">
        <v>116</v>
      </c>
      <c r="D16" s="15">
        <v>5</v>
      </c>
      <c r="E16" s="15">
        <v>2</v>
      </c>
      <c r="F16" s="15">
        <v>3.6</v>
      </c>
      <c r="G16" s="15">
        <v>3.1</v>
      </c>
      <c r="H16" s="15">
        <v>1.2</v>
      </c>
      <c r="I16" s="15">
        <v>2</v>
      </c>
      <c r="J16" s="25">
        <v>44.7</v>
      </c>
      <c r="K16" s="15">
        <f t="shared" si="0"/>
        <v>6.4</v>
      </c>
      <c r="L16" s="15">
        <f t="shared" si="1"/>
        <v>2.5</v>
      </c>
      <c r="M16" s="15">
        <f t="shared" si="2"/>
        <v>53.6</v>
      </c>
      <c r="N16" s="15">
        <f t="shared" si="3"/>
        <v>10.72</v>
      </c>
    </row>
    <row r="17" spans="1:14" ht="15.75" thickBot="1" x14ac:dyDescent="0.3">
      <c r="A17" s="73"/>
      <c r="B17" s="70"/>
      <c r="C17" s="48" t="s">
        <v>117</v>
      </c>
      <c r="D17" s="15">
        <v>5</v>
      </c>
      <c r="E17" s="15">
        <v>3</v>
      </c>
      <c r="F17" s="15">
        <v>3.6</v>
      </c>
      <c r="G17" s="15">
        <v>3.1</v>
      </c>
      <c r="H17" s="15">
        <v>1.2</v>
      </c>
      <c r="I17" s="15">
        <v>2</v>
      </c>
      <c r="J17" s="25">
        <v>41</v>
      </c>
      <c r="K17" s="15">
        <f t="shared" si="0"/>
        <v>8.8000000000000007</v>
      </c>
      <c r="L17" s="15">
        <f t="shared" si="1"/>
        <v>2.5</v>
      </c>
      <c r="M17" s="15">
        <f t="shared" si="2"/>
        <v>52.3</v>
      </c>
      <c r="N17" s="15">
        <f t="shared" si="3"/>
        <v>10.459999999999999</v>
      </c>
    </row>
    <row r="18" spans="1:14" ht="15.75" thickBot="1" x14ac:dyDescent="0.3">
      <c r="A18" s="73"/>
      <c r="B18" s="70"/>
      <c r="C18" s="48" t="s">
        <v>118</v>
      </c>
      <c r="D18" s="15">
        <v>9</v>
      </c>
      <c r="E18" s="15">
        <v>0</v>
      </c>
      <c r="F18" s="15">
        <v>3.6</v>
      </c>
      <c r="G18" s="15">
        <v>3.1</v>
      </c>
      <c r="H18" s="15">
        <v>1.2</v>
      </c>
      <c r="I18" s="15">
        <v>2</v>
      </c>
      <c r="J18" s="25">
        <v>45.3</v>
      </c>
      <c r="K18" s="15">
        <f t="shared" si="0"/>
        <v>1.6</v>
      </c>
      <c r="L18" s="15">
        <f t="shared" si="1"/>
        <v>4.5</v>
      </c>
      <c r="M18" s="15">
        <f t="shared" si="2"/>
        <v>51.4</v>
      </c>
      <c r="N18" s="15">
        <f t="shared" si="3"/>
        <v>5.7111111111111112</v>
      </c>
    </row>
    <row r="19" spans="1:14" ht="15.75" thickBot="1" x14ac:dyDescent="0.3">
      <c r="A19" s="73"/>
      <c r="B19" s="70"/>
      <c r="C19" s="48" t="s">
        <v>119</v>
      </c>
      <c r="D19" s="15">
        <v>10</v>
      </c>
      <c r="E19" s="15">
        <v>3</v>
      </c>
      <c r="F19" s="15">
        <v>3.6</v>
      </c>
      <c r="G19" s="15">
        <v>3.1</v>
      </c>
      <c r="H19" s="15">
        <v>1.2</v>
      </c>
      <c r="I19" s="15">
        <v>2</v>
      </c>
      <c r="J19" s="25">
        <v>35</v>
      </c>
      <c r="K19" s="15">
        <f t="shared" si="0"/>
        <v>8.8000000000000007</v>
      </c>
      <c r="L19" s="15">
        <f t="shared" si="1"/>
        <v>5</v>
      </c>
      <c r="M19" s="15">
        <f t="shared" si="2"/>
        <v>48.8</v>
      </c>
      <c r="N19" s="15">
        <f t="shared" si="3"/>
        <v>4.88</v>
      </c>
    </row>
    <row r="20" spans="1:14" ht="15.75" thickBot="1" x14ac:dyDescent="0.3">
      <c r="A20" s="73"/>
      <c r="B20" s="70"/>
      <c r="C20" s="48" t="s">
        <v>120</v>
      </c>
      <c r="D20" s="15">
        <v>8</v>
      </c>
      <c r="E20" s="15">
        <v>0</v>
      </c>
      <c r="F20" s="15">
        <v>3.6</v>
      </c>
      <c r="G20" s="15">
        <v>3.1</v>
      </c>
      <c r="H20" s="15">
        <v>1.2</v>
      </c>
      <c r="I20" s="15">
        <v>2</v>
      </c>
      <c r="J20" s="25">
        <v>26.2</v>
      </c>
      <c r="K20" s="15">
        <f t="shared" si="0"/>
        <v>1.6</v>
      </c>
      <c r="L20" s="15">
        <f t="shared" si="1"/>
        <v>4</v>
      </c>
      <c r="M20" s="15">
        <f t="shared" si="2"/>
        <v>31.8</v>
      </c>
      <c r="N20" s="15">
        <f t="shared" si="3"/>
        <v>3.9750000000000001</v>
      </c>
    </row>
    <row r="21" spans="1:14" ht="15.75" thickBot="1" x14ac:dyDescent="0.3">
      <c r="A21" s="73"/>
      <c r="B21" s="70"/>
      <c r="C21" s="48" t="s">
        <v>121</v>
      </c>
      <c r="D21" s="15">
        <v>9</v>
      </c>
      <c r="E21" s="15">
        <v>0</v>
      </c>
      <c r="F21" s="15">
        <v>3.6</v>
      </c>
      <c r="G21" s="15">
        <v>3.1</v>
      </c>
      <c r="H21" s="15">
        <v>1.2</v>
      </c>
      <c r="I21" s="15">
        <v>2</v>
      </c>
      <c r="J21" s="25">
        <v>25.6</v>
      </c>
      <c r="K21" s="15">
        <f>E21*(F21-H21)+(F21-I21)</f>
        <v>1.6</v>
      </c>
      <c r="L21" s="15">
        <f>D21*(F21-G21)</f>
        <v>4.5</v>
      </c>
      <c r="M21" s="15">
        <f>J21+K21+L21</f>
        <v>31.700000000000003</v>
      </c>
      <c r="N21" s="15">
        <f>M21/D21</f>
        <v>3.5222222222222226</v>
      </c>
    </row>
    <row r="22" spans="1:14" ht="15.75" thickBot="1" x14ac:dyDescent="0.3">
      <c r="A22" s="17"/>
      <c r="B22" s="17"/>
      <c r="C22" s="16"/>
      <c r="D22" s="14"/>
      <c r="E22" s="14"/>
      <c r="F22" s="16"/>
      <c r="G22" s="16"/>
      <c r="H22" s="16"/>
      <c r="I22" s="16"/>
      <c r="J22" s="16"/>
      <c r="K22" s="16"/>
      <c r="L22" s="68" t="s">
        <v>159</v>
      </c>
      <c r="M22" s="69"/>
      <c r="N22" s="15">
        <f>SUM(N2:N21)/20</f>
        <v>7.0453461538461521</v>
      </c>
    </row>
    <row r="23" spans="1:14" x14ac:dyDescent="0.25">
      <c r="A23" s="17"/>
      <c r="B23" s="17"/>
      <c r="C23" s="16"/>
      <c r="D23" s="14"/>
      <c r="E23" s="14"/>
      <c r="F23" s="16"/>
      <c r="G23" s="16"/>
      <c r="H23" s="16"/>
      <c r="I23" s="16"/>
      <c r="J23" s="16"/>
      <c r="K23" s="16"/>
      <c r="L23" s="16"/>
      <c r="M23" s="16"/>
      <c r="N23" s="16" t="s">
        <v>239</v>
      </c>
    </row>
    <row r="24" spans="1:14" x14ac:dyDescent="0.25">
      <c r="A24" s="17"/>
      <c r="B24" s="17"/>
      <c r="C24" s="16"/>
      <c r="D24" s="14"/>
      <c r="E24" s="14"/>
      <c r="F24" s="16"/>
      <c r="G24" s="16"/>
      <c r="H24" s="16"/>
      <c r="I24" s="16"/>
      <c r="J24" s="16"/>
      <c r="K24" s="16"/>
      <c r="L24" s="16"/>
      <c r="M24" s="16"/>
      <c r="N24" s="16"/>
    </row>
    <row r="25" spans="1:14" x14ac:dyDescent="0.25">
      <c r="A25" s="17"/>
      <c r="B25" s="17"/>
      <c r="C25" s="16"/>
      <c r="D25" s="14"/>
      <c r="E25" s="16"/>
      <c r="F25" s="16"/>
      <c r="G25" s="16"/>
      <c r="H25" s="16"/>
      <c r="I25" s="16"/>
      <c r="J25" s="16"/>
      <c r="K25" s="16"/>
      <c r="L25" s="16"/>
      <c r="M25" s="16"/>
      <c r="N25" s="16"/>
    </row>
    <row r="26" spans="1:14" x14ac:dyDescent="0.25">
      <c r="A26" s="17"/>
      <c r="B26" s="17"/>
      <c r="C26" s="16"/>
      <c r="D26" s="14"/>
      <c r="E26" s="14"/>
      <c r="F26" s="16"/>
      <c r="G26" s="16"/>
      <c r="H26" s="16"/>
      <c r="I26" s="16"/>
      <c r="J26" s="16"/>
      <c r="K26" s="16"/>
      <c r="L26" s="16"/>
      <c r="M26" s="16"/>
      <c r="N26" s="16"/>
    </row>
    <row r="27" spans="1:14" x14ac:dyDescent="0.25">
      <c r="A27" s="17"/>
      <c r="B27" s="17"/>
      <c r="C27" s="16"/>
      <c r="D27" s="14"/>
      <c r="E27" s="14"/>
      <c r="F27" s="16"/>
      <c r="G27" s="16"/>
      <c r="H27" s="16"/>
      <c r="I27" s="16"/>
      <c r="J27" s="16"/>
      <c r="K27" s="16"/>
      <c r="L27" s="16"/>
      <c r="M27" s="16"/>
      <c r="N27" s="16"/>
    </row>
    <row r="33" spans="7:7" x14ac:dyDescent="0.25">
      <c r="G33">
        <f>49+7*3.3</f>
        <v>72.099999999999994</v>
      </c>
    </row>
    <row r="34" spans="7:7" x14ac:dyDescent="0.25">
      <c r="G34">
        <f>21.6+62+2+5</f>
        <v>90.6</v>
      </c>
    </row>
    <row r="35" spans="7:7" x14ac:dyDescent="0.25">
      <c r="G35">
        <f>15+26+4</f>
        <v>45</v>
      </c>
    </row>
  </sheetData>
  <mergeCells count="4">
    <mergeCell ref="L22:M22"/>
    <mergeCell ref="B2:B11"/>
    <mergeCell ref="B12:B21"/>
    <mergeCell ref="A2:A21"/>
  </mergeCells>
  <pageMargins left="0.7" right="0.7" top="0.75" bottom="0.75" header="0.3" footer="0.3"/>
  <pageSetup scale="8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692C6-A8E3-40F6-97AF-59ECE045F88D}">
  <dimension ref="A1:N2"/>
  <sheetViews>
    <sheetView workbookViewId="0">
      <selection activeCell="J2" sqref="J2"/>
    </sheetView>
  </sheetViews>
  <sheetFormatPr defaultRowHeight="15" x14ac:dyDescent="0.25"/>
  <cols>
    <col min="1" max="1" width="9.85546875" bestFit="1" customWidth="1"/>
    <col min="6" max="6" width="9.85546875" bestFit="1" customWidth="1"/>
    <col min="7" max="7" width="17.5703125" bestFit="1" customWidth="1"/>
    <col min="8" max="8" width="12" bestFit="1" customWidth="1"/>
    <col min="9" max="9" width="11.140625" bestFit="1" customWidth="1"/>
    <col min="10" max="10" width="4.7109375" bestFit="1" customWidth="1"/>
    <col min="11" max="11" width="5" bestFit="1" customWidth="1"/>
    <col min="12" max="12" width="11.140625" bestFit="1" customWidth="1"/>
    <col min="13" max="13" width="11.85546875" bestFit="1" customWidth="1"/>
    <col min="14" max="14" width="14.5703125" bestFit="1" customWidth="1"/>
  </cols>
  <sheetData>
    <row r="1" spans="1:14" ht="15.75" thickBot="1" x14ac:dyDescent="0.3">
      <c r="A1" s="9" t="s">
        <v>109</v>
      </c>
      <c r="B1" s="9" t="s">
        <v>110</v>
      </c>
      <c r="C1" s="9" t="s">
        <v>111</v>
      </c>
      <c r="D1" s="9" t="s">
        <v>88</v>
      </c>
      <c r="E1" s="9" t="s">
        <v>122</v>
      </c>
      <c r="F1" s="18" t="s">
        <v>123</v>
      </c>
      <c r="G1" s="18" t="s">
        <v>124</v>
      </c>
      <c r="H1" s="15" t="s">
        <v>125</v>
      </c>
      <c r="I1" s="15" t="s">
        <v>126</v>
      </c>
      <c r="J1" s="15" t="s">
        <v>127</v>
      </c>
      <c r="K1" s="15" t="s">
        <v>128</v>
      </c>
      <c r="L1" s="15" t="s">
        <v>129</v>
      </c>
      <c r="M1" s="15" t="s">
        <v>130</v>
      </c>
      <c r="N1" s="15" t="s">
        <v>131</v>
      </c>
    </row>
    <row r="2" spans="1:14" ht="15.75" thickBot="1" x14ac:dyDescent="0.3">
      <c r="A2" s="15" t="s">
        <v>222</v>
      </c>
      <c r="B2" s="15" t="s">
        <v>238</v>
      </c>
      <c r="C2" s="51" t="s">
        <v>134</v>
      </c>
      <c r="D2" s="15">
        <v>4</v>
      </c>
      <c r="E2" s="15">
        <v>0</v>
      </c>
      <c r="F2" s="15">
        <v>3.6</v>
      </c>
      <c r="G2" s="15">
        <v>3.1</v>
      </c>
      <c r="H2" s="15">
        <v>1.2</v>
      </c>
      <c r="I2" s="15">
        <v>2</v>
      </c>
      <c r="J2" s="25">
        <v>24.7</v>
      </c>
      <c r="K2" s="15">
        <f>E2*(F2-H2)+(F2-I2)</f>
        <v>1.6</v>
      </c>
      <c r="L2" s="15">
        <f>D2*(F2-G2)</f>
        <v>2</v>
      </c>
      <c r="M2" s="15">
        <f>J2+K2</f>
        <v>26.3</v>
      </c>
      <c r="N2" s="20">
        <f>M2/D2</f>
        <v>6.5750000000000002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D9618-E36E-49CF-AB0B-1B361D5BE986}">
  <sheetPr>
    <pageSetUpPr fitToPage="1"/>
  </sheetPr>
  <dimension ref="A1:K16"/>
  <sheetViews>
    <sheetView workbookViewId="0">
      <selection activeCell="G6" sqref="G6"/>
    </sheetView>
  </sheetViews>
  <sheetFormatPr defaultRowHeight="15" x14ac:dyDescent="0.25"/>
  <cols>
    <col min="1" max="1" width="9.85546875" bestFit="1" customWidth="1"/>
    <col min="3" max="3" width="4.7109375" bestFit="1" customWidth="1"/>
    <col min="4" max="4" width="13.140625" bestFit="1" customWidth="1"/>
    <col min="5" max="5" width="9.85546875" bestFit="1" customWidth="1"/>
    <col min="6" max="6" width="12" bestFit="1" customWidth="1"/>
    <col min="7" max="7" width="11.140625" bestFit="1" customWidth="1"/>
    <col min="8" max="8" width="6" customWidth="1"/>
    <col min="9" max="9" width="5.85546875" customWidth="1"/>
    <col min="10" max="10" width="11.85546875" bestFit="1" customWidth="1"/>
    <col min="11" max="11" width="14.5703125" bestFit="1" customWidth="1"/>
  </cols>
  <sheetData>
    <row r="1" spans="1:11" ht="15.75" thickBot="1" x14ac:dyDescent="0.3">
      <c r="A1" s="9" t="s">
        <v>109</v>
      </c>
      <c r="B1" s="9" t="s">
        <v>110</v>
      </c>
      <c r="C1" s="9" t="s">
        <v>111</v>
      </c>
      <c r="D1" s="9" t="s">
        <v>132</v>
      </c>
      <c r="E1" s="18" t="s">
        <v>123</v>
      </c>
      <c r="F1" s="15" t="s">
        <v>133</v>
      </c>
      <c r="G1" s="15" t="s">
        <v>126</v>
      </c>
      <c r="H1" s="15" t="s">
        <v>127</v>
      </c>
      <c r="I1" s="15" t="s">
        <v>128</v>
      </c>
      <c r="J1" s="15" t="s">
        <v>130</v>
      </c>
      <c r="K1" s="15" t="s">
        <v>131</v>
      </c>
    </row>
    <row r="2" spans="1:11" ht="15.75" thickBot="1" x14ac:dyDescent="0.3">
      <c r="A2" s="70" t="s">
        <v>222</v>
      </c>
      <c r="B2" s="70" t="s">
        <v>237</v>
      </c>
      <c r="C2" s="44" t="s">
        <v>134</v>
      </c>
      <c r="D2" s="9">
        <v>7</v>
      </c>
      <c r="E2" s="15">
        <v>3.6</v>
      </c>
      <c r="F2" s="15">
        <v>0.6</v>
      </c>
      <c r="G2" s="15">
        <v>2</v>
      </c>
      <c r="H2" s="25">
        <v>36</v>
      </c>
      <c r="I2" s="15">
        <f>2*D2*(E2-F2)</f>
        <v>42</v>
      </c>
      <c r="J2" s="15">
        <f>H2+I2</f>
        <v>78</v>
      </c>
      <c r="K2" s="15">
        <f>J2/D2</f>
        <v>11.142857142857142</v>
      </c>
    </row>
    <row r="3" spans="1:11" ht="15.75" thickBot="1" x14ac:dyDescent="0.3">
      <c r="A3" s="70"/>
      <c r="B3" s="70"/>
      <c r="C3" s="44" t="s">
        <v>135</v>
      </c>
      <c r="D3" s="9">
        <v>9</v>
      </c>
      <c r="E3" s="15">
        <v>3.6</v>
      </c>
      <c r="F3" s="15">
        <v>0.6</v>
      </c>
      <c r="G3" s="15">
        <v>2</v>
      </c>
      <c r="H3" s="25">
        <v>28</v>
      </c>
      <c r="I3" s="15">
        <f t="shared" ref="I3:I12" si="0">2*D3*(E3-F3)</f>
        <v>54</v>
      </c>
      <c r="J3" s="15">
        <f t="shared" ref="J3:J12" si="1">H3+I3</f>
        <v>82</v>
      </c>
      <c r="K3" s="15">
        <f t="shared" ref="K3:K9" si="2">J3/D3</f>
        <v>9.1111111111111107</v>
      </c>
    </row>
    <row r="4" spans="1:11" ht="15.75" thickBot="1" x14ac:dyDescent="0.3">
      <c r="A4" s="70"/>
      <c r="B4" s="70"/>
      <c r="C4" s="44" t="s">
        <v>136</v>
      </c>
      <c r="D4" s="9">
        <v>10</v>
      </c>
      <c r="E4" s="15">
        <v>3.6</v>
      </c>
      <c r="F4" s="15">
        <v>0.6</v>
      </c>
      <c r="G4" s="15">
        <v>2</v>
      </c>
      <c r="H4" s="25">
        <v>40.700000000000003</v>
      </c>
      <c r="I4" s="15">
        <f t="shared" si="0"/>
        <v>60</v>
      </c>
      <c r="J4" s="15">
        <f t="shared" si="1"/>
        <v>100.7</v>
      </c>
      <c r="K4" s="15">
        <f t="shared" si="2"/>
        <v>10.07</v>
      </c>
    </row>
    <row r="5" spans="1:11" ht="15.75" thickBot="1" x14ac:dyDescent="0.3">
      <c r="A5" s="70"/>
      <c r="B5" s="70"/>
      <c r="C5" s="44" t="s">
        <v>137</v>
      </c>
      <c r="D5" s="9">
        <v>12</v>
      </c>
      <c r="E5" s="15">
        <v>3.6</v>
      </c>
      <c r="F5" s="15">
        <v>0.6</v>
      </c>
      <c r="G5" s="15">
        <v>2</v>
      </c>
      <c r="H5" s="25">
        <v>48.7</v>
      </c>
      <c r="I5" s="15">
        <f t="shared" si="0"/>
        <v>72</v>
      </c>
      <c r="J5" s="15">
        <f t="shared" si="1"/>
        <v>120.7</v>
      </c>
      <c r="K5" s="15">
        <f t="shared" si="2"/>
        <v>10.058333333333334</v>
      </c>
    </row>
    <row r="6" spans="1:11" ht="15.75" thickBot="1" x14ac:dyDescent="0.3">
      <c r="A6" s="70"/>
      <c r="B6" s="70"/>
      <c r="C6" s="44" t="s">
        <v>138</v>
      </c>
      <c r="D6" s="9">
        <v>6</v>
      </c>
      <c r="E6" s="15">
        <v>3.6</v>
      </c>
      <c r="F6" s="15">
        <v>0.6</v>
      </c>
      <c r="G6" s="15">
        <v>2</v>
      </c>
      <c r="H6" s="25">
        <v>44</v>
      </c>
      <c r="I6" s="15">
        <f t="shared" si="0"/>
        <v>36</v>
      </c>
      <c r="J6" s="15">
        <f t="shared" si="1"/>
        <v>80</v>
      </c>
      <c r="K6" s="15">
        <f t="shared" si="2"/>
        <v>13.333333333333334</v>
      </c>
    </row>
    <row r="7" spans="1:11" ht="15.75" thickBot="1" x14ac:dyDescent="0.3">
      <c r="A7" s="70"/>
      <c r="B7" s="70"/>
      <c r="C7" s="44" t="s">
        <v>139</v>
      </c>
      <c r="D7" s="9">
        <v>9</v>
      </c>
      <c r="E7" s="15">
        <v>3.6</v>
      </c>
      <c r="F7" s="15">
        <v>0.6</v>
      </c>
      <c r="G7" s="15">
        <v>2</v>
      </c>
      <c r="H7" s="25">
        <v>41.4</v>
      </c>
      <c r="I7" s="15">
        <f t="shared" si="0"/>
        <v>54</v>
      </c>
      <c r="J7" s="15">
        <f t="shared" si="1"/>
        <v>95.4</v>
      </c>
      <c r="K7" s="15">
        <f t="shared" si="2"/>
        <v>10.600000000000001</v>
      </c>
    </row>
    <row r="8" spans="1:11" ht="15.75" thickBot="1" x14ac:dyDescent="0.3">
      <c r="A8" s="70"/>
      <c r="B8" s="70"/>
      <c r="C8" s="44" t="s">
        <v>140</v>
      </c>
      <c r="D8" s="9">
        <v>6</v>
      </c>
      <c r="E8" s="15">
        <v>3.6</v>
      </c>
      <c r="F8" s="15">
        <v>0.6</v>
      </c>
      <c r="G8" s="15">
        <v>2</v>
      </c>
      <c r="H8" s="25">
        <v>23.4</v>
      </c>
      <c r="I8" s="15">
        <f t="shared" si="0"/>
        <v>36</v>
      </c>
      <c r="J8" s="15">
        <f t="shared" si="1"/>
        <v>59.4</v>
      </c>
      <c r="K8" s="15">
        <f t="shared" si="2"/>
        <v>9.9</v>
      </c>
    </row>
    <row r="9" spans="1:11" ht="15.75" thickBot="1" x14ac:dyDescent="0.3">
      <c r="A9" s="70"/>
      <c r="B9" s="70"/>
      <c r="C9" s="44" t="s">
        <v>141</v>
      </c>
      <c r="D9" s="9">
        <v>7</v>
      </c>
      <c r="E9" s="15">
        <v>3.6</v>
      </c>
      <c r="F9" s="15">
        <v>0.6</v>
      </c>
      <c r="G9" s="15">
        <v>2</v>
      </c>
      <c r="H9" s="25">
        <v>35.6</v>
      </c>
      <c r="I9" s="15">
        <f t="shared" si="0"/>
        <v>42</v>
      </c>
      <c r="J9" s="15">
        <f t="shared" si="1"/>
        <v>77.599999999999994</v>
      </c>
      <c r="K9" s="15">
        <f t="shared" si="2"/>
        <v>11.085714285714285</v>
      </c>
    </row>
    <row r="10" spans="1:11" ht="15.75" thickBot="1" x14ac:dyDescent="0.3">
      <c r="A10" s="70"/>
      <c r="B10" s="70"/>
      <c r="C10" s="44" t="s">
        <v>142</v>
      </c>
      <c r="D10" s="9">
        <v>9</v>
      </c>
      <c r="E10" s="15">
        <v>3.6</v>
      </c>
      <c r="F10" s="15">
        <v>0.6</v>
      </c>
      <c r="G10" s="15">
        <v>2</v>
      </c>
      <c r="H10" s="25">
        <v>51.6</v>
      </c>
      <c r="I10" s="15">
        <f t="shared" si="0"/>
        <v>54</v>
      </c>
      <c r="J10" s="15">
        <f t="shared" si="1"/>
        <v>105.6</v>
      </c>
      <c r="K10" s="15">
        <f>J10/D10</f>
        <v>11.733333333333333</v>
      </c>
    </row>
    <row r="11" spans="1:11" ht="15.75" thickBot="1" x14ac:dyDescent="0.3">
      <c r="A11" s="70"/>
      <c r="B11" s="70"/>
      <c r="C11" s="44" t="s">
        <v>175</v>
      </c>
      <c r="D11" s="9">
        <v>7</v>
      </c>
      <c r="E11" s="15">
        <v>3.6</v>
      </c>
      <c r="F11" s="15">
        <v>0.6</v>
      </c>
      <c r="G11" s="15">
        <v>2</v>
      </c>
      <c r="H11" s="25">
        <v>39.200000000000003</v>
      </c>
      <c r="I11" s="15">
        <f t="shared" si="0"/>
        <v>42</v>
      </c>
      <c r="J11" s="15">
        <f t="shared" si="1"/>
        <v>81.2</v>
      </c>
      <c r="K11" s="15">
        <f>J11/D11</f>
        <v>11.6</v>
      </c>
    </row>
    <row r="12" spans="1:11" ht="15.75" thickBot="1" x14ac:dyDescent="0.3">
      <c r="A12" s="70"/>
      <c r="B12" s="70"/>
      <c r="C12" s="44" t="s">
        <v>177</v>
      </c>
      <c r="D12" s="9">
        <v>8</v>
      </c>
      <c r="E12" s="15">
        <v>3.6</v>
      </c>
      <c r="F12" s="15">
        <v>0.6</v>
      </c>
      <c r="G12" s="15">
        <v>2</v>
      </c>
      <c r="H12" s="25">
        <v>31</v>
      </c>
      <c r="I12" s="15">
        <f t="shared" si="0"/>
        <v>48</v>
      </c>
      <c r="J12" s="15">
        <f t="shared" si="1"/>
        <v>79</v>
      </c>
      <c r="K12" s="15">
        <f>J12/D12</f>
        <v>9.875</v>
      </c>
    </row>
    <row r="13" spans="1:11" ht="15.75" thickBot="1" x14ac:dyDescent="0.3">
      <c r="A13" s="70"/>
      <c r="B13" s="70" t="s">
        <v>238</v>
      </c>
      <c r="C13" s="44" t="s">
        <v>135</v>
      </c>
      <c r="D13" s="9">
        <v>8</v>
      </c>
      <c r="E13" s="15">
        <v>3.6</v>
      </c>
      <c r="F13" s="15">
        <v>0.6</v>
      </c>
      <c r="G13" s="15">
        <v>2</v>
      </c>
      <c r="H13" s="25">
        <v>9.1999999999999993</v>
      </c>
      <c r="I13" s="15">
        <f>2*D13*(E13-F13)</f>
        <v>48</v>
      </c>
      <c r="J13" s="15">
        <f>H13+I13</f>
        <v>57.2</v>
      </c>
      <c r="K13" s="15">
        <f>J13/D13</f>
        <v>7.15</v>
      </c>
    </row>
    <row r="14" spans="1:11" ht="15.75" thickBot="1" x14ac:dyDescent="0.3">
      <c r="A14" s="70"/>
      <c r="B14" s="70"/>
      <c r="C14" s="44" t="s">
        <v>145</v>
      </c>
      <c r="D14" s="9">
        <v>5</v>
      </c>
      <c r="E14" s="15">
        <v>3.6</v>
      </c>
      <c r="F14" s="15">
        <v>0.6</v>
      </c>
      <c r="G14" s="15">
        <v>2</v>
      </c>
      <c r="H14" s="25">
        <v>39.5</v>
      </c>
      <c r="I14" s="15">
        <f>2*D14*(E14-F14)</f>
        <v>30</v>
      </c>
      <c r="J14" s="15">
        <f>H14+I14</f>
        <v>69.5</v>
      </c>
      <c r="K14" s="15">
        <f>J14/D14</f>
        <v>13.9</v>
      </c>
    </row>
    <row r="15" spans="1:11" ht="15.75" thickBot="1" x14ac:dyDescent="0.3">
      <c r="H15" s="74" t="s">
        <v>163</v>
      </c>
      <c r="I15" s="75"/>
      <c r="J15" s="76"/>
      <c r="K15" s="30">
        <f>SUM(K2:K14)/13</f>
        <v>10.735360195360196</v>
      </c>
    </row>
    <row r="16" spans="1:11" ht="15.75" thickTop="1" x14ac:dyDescent="0.25"/>
  </sheetData>
  <mergeCells count="4">
    <mergeCell ref="H15:J15"/>
    <mergeCell ref="B2:B12"/>
    <mergeCell ref="B13:B14"/>
    <mergeCell ref="A2:A14"/>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A127-6FCD-4E8C-8E24-81F3750150A7}">
  <sheetPr>
    <pageSetUpPr fitToPage="1"/>
  </sheetPr>
  <dimension ref="A1:K14"/>
  <sheetViews>
    <sheetView workbookViewId="0">
      <selection activeCell="K13" sqref="K13"/>
    </sheetView>
  </sheetViews>
  <sheetFormatPr defaultRowHeight="15" x14ac:dyDescent="0.25"/>
  <cols>
    <col min="1" max="1" width="9.85546875" bestFit="1" customWidth="1"/>
    <col min="3" max="3" width="4.7109375" bestFit="1" customWidth="1"/>
    <col min="4" max="4" width="13.140625" bestFit="1" customWidth="1"/>
    <col min="5" max="5" width="9.85546875" bestFit="1" customWidth="1"/>
    <col min="6" max="6" width="12" bestFit="1" customWidth="1"/>
    <col min="7" max="7" width="10.85546875" customWidth="1"/>
    <col min="8" max="8" width="5.42578125" customWidth="1"/>
    <col min="9" max="9" width="5" bestFit="1" customWidth="1"/>
    <col min="10" max="10" width="11.85546875" bestFit="1" customWidth="1"/>
    <col min="11" max="11" width="14.5703125" bestFit="1" customWidth="1"/>
  </cols>
  <sheetData>
    <row r="1" spans="1:11" ht="15.75" thickBot="1" x14ac:dyDescent="0.3">
      <c r="A1" s="9" t="s">
        <v>109</v>
      </c>
      <c r="B1" s="9" t="s">
        <v>110</v>
      </c>
      <c r="C1" s="9" t="s">
        <v>111</v>
      </c>
      <c r="D1" s="9" t="s">
        <v>132</v>
      </c>
      <c r="E1" s="18" t="s">
        <v>123</v>
      </c>
      <c r="F1" s="15" t="s">
        <v>133</v>
      </c>
      <c r="G1" s="15" t="s">
        <v>126</v>
      </c>
      <c r="H1" s="15" t="s">
        <v>127</v>
      </c>
      <c r="I1" s="15" t="s">
        <v>128</v>
      </c>
      <c r="J1" s="15" t="s">
        <v>130</v>
      </c>
      <c r="K1" s="15" t="s">
        <v>131</v>
      </c>
    </row>
    <row r="2" spans="1:11" ht="15.75" thickBot="1" x14ac:dyDescent="0.3">
      <c r="A2" s="70" t="s">
        <v>222</v>
      </c>
      <c r="B2" s="70" t="s">
        <v>237</v>
      </c>
      <c r="C2" s="43" t="s">
        <v>143</v>
      </c>
      <c r="D2" s="9">
        <v>1</v>
      </c>
      <c r="E2" s="15">
        <v>3.6</v>
      </c>
      <c r="F2" s="15">
        <v>1.5</v>
      </c>
      <c r="G2" s="15">
        <v>2</v>
      </c>
      <c r="H2" s="25">
        <v>30.7</v>
      </c>
      <c r="I2" s="15">
        <f>D2*(E2-F2)</f>
        <v>2.1</v>
      </c>
      <c r="J2" s="15">
        <f>H2+I2</f>
        <v>32.799999999999997</v>
      </c>
      <c r="K2" s="15">
        <f>J2/D2</f>
        <v>32.799999999999997</v>
      </c>
    </row>
    <row r="3" spans="1:11" ht="15.75" thickBot="1" x14ac:dyDescent="0.3">
      <c r="A3" s="70"/>
      <c r="B3" s="70"/>
      <c r="C3" s="43" t="s">
        <v>144</v>
      </c>
      <c r="D3" s="9">
        <v>1</v>
      </c>
      <c r="E3" s="15">
        <v>3.6</v>
      </c>
      <c r="F3" s="15">
        <v>1.5</v>
      </c>
      <c r="G3" s="15">
        <v>2</v>
      </c>
      <c r="H3" s="25">
        <v>31.7</v>
      </c>
      <c r="I3" s="15">
        <f>D3*(E3-F3)</f>
        <v>2.1</v>
      </c>
      <c r="J3" s="15">
        <f>H3+I3</f>
        <v>33.799999999999997</v>
      </c>
      <c r="K3" s="15">
        <f>J3/D3</f>
        <v>33.799999999999997</v>
      </c>
    </row>
    <row r="4" spans="1:11" ht="15.75" thickBot="1" x14ac:dyDescent="0.3">
      <c r="A4" s="70"/>
      <c r="B4" s="70" t="s">
        <v>238</v>
      </c>
      <c r="C4" s="43" t="s">
        <v>136</v>
      </c>
      <c r="D4" s="9">
        <v>1</v>
      </c>
      <c r="E4" s="15">
        <v>3.6</v>
      </c>
      <c r="F4" s="15">
        <v>1.5</v>
      </c>
      <c r="G4" s="15">
        <v>2</v>
      </c>
      <c r="H4" s="25">
        <v>7</v>
      </c>
      <c r="I4" s="15">
        <f t="shared" ref="I4:I12" si="0">D4*(E4-F4)</f>
        <v>2.1</v>
      </c>
      <c r="J4" s="15">
        <f t="shared" ref="J4:J12" si="1">H4+I4</f>
        <v>9.1</v>
      </c>
      <c r="K4" s="15">
        <f t="shared" ref="K4:K12" si="2">J4/D4</f>
        <v>9.1</v>
      </c>
    </row>
    <row r="5" spans="1:11" ht="15.75" thickBot="1" x14ac:dyDescent="0.3">
      <c r="A5" s="70"/>
      <c r="B5" s="70"/>
      <c r="C5" s="43" t="s">
        <v>137</v>
      </c>
      <c r="D5" s="9">
        <v>1</v>
      </c>
      <c r="E5" s="15">
        <v>3.6</v>
      </c>
      <c r="F5" s="15">
        <v>1.5</v>
      </c>
      <c r="G5" s="15">
        <v>2</v>
      </c>
      <c r="H5" s="25">
        <v>15.3</v>
      </c>
      <c r="I5" s="15">
        <f t="shared" si="0"/>
        <v>2.1</v>
      </c>
      <c r="J5" s="15">
        <f t="shared" si="1"/>
        <v>17.400000000000002</v>
      </c>
      <c r="K5" s="15">
        <f t="shared" si="2"/>
        <v>17.400000000000002</v>
      </c>
    </row>
    <row r="6" spans="1:11" ht="15.75" thickBot="1" x14ac:dyDescent="0.3">
      <c r="A6" s="70"/>
      <c r="B6" s="70"/>
      <c r="C6" s="43" t="s">
        <v>138</v>
      </c>
      <c r="D6" s="9">
        <v>1</v>
      </c>
      <c r="E6" s="15">
        <v>3.6</v>
      </c>
      <c r="F6" s="15">
        <v>1.5</v>
      </c>
      <c r="G6" s="15">
        <v>2</v>
      </c>
      <c r="H6" s="25">
        <v>11.8</v>
      </c>
      <c r="I6" s="15">
        <f t="shared" si="0"/>
        <v>2.1</v>
      </c>
      <c r="J6" s="15">
        <f t="shared" si="1"/>
        <v>13.9</v>
      </c>
      <c r="K6" s="15">
        <f t="shared" si="2"/>
        <v>13.9</v>
      </c>
    </row>
    <row r="7" spans="1:11" ht="15.75" thickBot="1" x14ac:dyDescent="0.3">
      <c r="A7" s="70"/>
      <c r="B7" s="70"/>
      <c r="C7" s="43" t="s">
        <v>139</v>
      </c>
      <c r="D7" s="9">
        <v>1</v>
      </c>
      <c r="E7" s="15">
        <v>3.6</v>
      </c>
      <c r="F7" s="15">
        <v>1.5</v>
      </c>
      <c r="G7" s="15">
        <v>2</v>
      </c>
      <c r="H7" s="25">
        <v>17.399999999999999</v>
      </c>
      <c r="I7" s="15">
        <f t="shared" si="0"/>
        <v>2.1</v>
      </c>
      <c r="J7" s="15">
        <f t="shared" si="1"/>
        <v>19.5</v>
      </c>
      <c r="K7" s="15">
        <f t="shared" si="2"/>
        <v>19.5</v>
      </c>
    </row>
    <row r="8" spans="1:11" ht="15.75" thickBot="1" x14ac:dyDescent="0.3">
      <c r="A8" s="70"/>
      <c r="B8" s="70"/>
      <c r="C8" s="43" t="s">
        <v>140</v>
      </c>
      <c r="D8" s="9">
        <v>1</v>
      </c>
      <c r="E8" s="15">
        <v>3.6</v>
      </c>
      <c r="F8" s="15">
        <v>1.5</v>
      </c>
      <c r="G8" s="15">
        <v>2</v>
      </c>
      <c r="H8" s="25">
        <v>17.2</v>
      </c>
      <c r="I8" s="15">
        <f t="shared" si="0"/>
        <v>2.1</v>
      </c>
      <c r="J8" s="15">
        <f t="shared" si="1"/>
        <v>19.3</v>
      </c>
      <c r="K8" s="15">
        <f t="shared" si="2"/>
        <v>19.3</v>
      </c>
    </row>
    <row r="9" spans="1:11" ht="15.75" thickBot="1" x14ac:dyDescent="0.3">
      <c r="A9" s="70"/>
      <c r="B9" s="70"/>
      <c r="C9" s="43" t="s">
        <v>141</v>
      </c>
      <c r="D9" s="9">
        <v>1</v>
      </c>
      <c r="E9" s="15">
        <v>3.6</v>
      </c>
      <c r="F9" s="15">
        <v>1.5</v>
      </c>
      <c r="G9" s="15">
        <v>2</v>
      </c>
      <c r="H9" s="25">
        <v>24.2</v>
      </c>
      <c r="I9" s="15">
        <f t="shared" si="0"/>
        <v>2.1</v>
      </c>
      <c r="J9" s="15">
        <f t="shared" si="1"/>
        <v>26.3</v>
      </c>
      <c r="K9" s="15">
        <f t="shared" si="2"/>
        <v>26.3</v>
      </c>
    </row>
    <row r="10" spans="1:11" ht="15.75" thickBot="1" x14ac:dyDescent="0.3">
      <c r="A10" s="70"/>
      <c r="B10" s="70"/>
      <c r="C10" s="43" t="s">
        <v>142</v>
      </c>
      <c r="D10" s="9">
        <v>1</v>
      </c>
      <c r="E10" s="15">
        <v>3.6</v>
      </c>
      <c r="F10" s="15">
        <v>1.5</v>
      </c>
      <c r="G10" s="15">
        <v>2</v>
      </c>
      <c r="H10" s="25">
        <v>21</v>
      </c>
      <c r="I10" s="15">
        <f t="shared" si="0"/>
        <v>2.1</v>
      </c>
      <c r="J10" s="15">
        <f t="shared" si="1"/>
        <v>23.1</v>
      </c>
      <c r="K10" s="15">
        <f t="shared" si="2"/>
        <v>23.1</v>
      </c>
    </row>
    <row r="11" spans="1:11" ht="15.75" thickBot="1" x14ac:dyDescent="0.3">
      <c r="A11" s="70"/>
      <c r="B11" s="70"/>
      <c r="C11" s="43" t="s">
        <v>143</v>
      </c>
      <c r="D11" s="9">
        <v>1</v>
      </c>
      <c r="E11" s="15">
        <v>3.6</v>
      </c>
      <c r="F11" s="15">
        <v>1.5</v>
      </c>
      <c r="G11" s="15">
        <v>2</v>
      </c>
      <c r="H11" s="25">
        <v>9.6999999999999993</v>
      </c>
      <c r="I11" s="15">
        <f t="shared" si="0"/>
        <v>2.1</v>
      </c>
      <c r="J11" s="15">
        <f t="shared" si="1"/>
        <v>11.799999999999999</v>
      </c>
      <c r="K11" s="15">
        <f t="shared" si="2"/>
        <v>11.799999999999999</v>
      </c>
    </row>
    <row r="12" spans="1:11" ht="15.75" thickBot="1" x14ac:dyDescent="0.3">
      <c r="A12" s="70"/>
      <c r="B12" s="70"/>
      <c r="C12" s="43" t="s">
        <v>144</v>
      </c>
      <c r="D12" s="9">
        <v>1</v>
      </c>
      <c r="E12" s="15">
        <v>3.6</v>
      </c>
      <c r="F12" s="15">
        <v>1.5</v>
      </c>
      <c r="G12" s="15">
        <v>2</v>
      </c>
      <c r="H12" s="25">
        <v>12</v>
      </c>
      <c r="I12" s="15">
        <f t="shared" si="0"/>
        <v>2.1</v>
      </c>
      <c r="J12" s="15">
        <f t="shared" si="1"/>
        <v>14.1</v>
      </c>
      <c r="K12" s="15">
        <f t="shared" si="2"/>
        <v>14.1</v>
      </c>
    </row>
    <row r="13" spans="1:11" ht="16.5" thickTop="1" thickBot="1" x14ac:dyDescent="0.3">
      <c r="H13" s="77" t="s">
        <v>164</v>
      </c>
      <c r="I13" s="78"/>
      <c r="J13" s="79"/>
      <c r="K13" s="24">
        <f>SUM(K2:K12)/11</f>
        <v>20.100000000000001</v>
      </c>
    </row>
    <row r="14" spans="1:11" ht="15.75" thickTop="1" x14ac:dyDescent="0.25"/>
  </sheetData>
  <mergeCells count="4">
    <mergeCell ref="B2:B3"/>
    <mergeCell ref="H13:J13"/>
    <mergeCell ref="B4:B12"/>
    <mergeCell ref="A2:A12"/>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DE7E-18CD-40E9-8CA5-66B498455EAD}">
  <dimension ref="A1:J20"/>
  <sheetViews>
    <sheetView workbookViewId="0">
      <selection activeCell="J19" sqref="J19"/>
    </sheetView>
  </sheetViews>
  <sheetFormatPr defaultRowHeight="15" x14ac:dyDescent="0.25"/>
  <cols>
    <col min="1" max="1" width="9.85546875" bestFit="1" customWidth="1"/>
    <col min="3" max="3" width="9" bestFit="1" customWidth="1"/>
    <col min="4" max="4" width="13.140625" bestFit="1" customWidth="1"/>
    <col min="5" max="5" width="9.85546875" bestFit="1" customWidth="1"/>
    <col min="6" max="6" width="12" bestFit="1" customWidth="1"/>
    <col min="7" max="7" width="11.140625" bestFit="1" customWidth="1"/>
    <col min="8" max="8" width="4.7109375" bestFit="1" customWidth="1"/>
    <col min="10" max="10" width="11.85546875" bestFit="1" customWidth="1"/>
  </cols>
  <sheetData>
    <row r="1" spans="1:10" ht="15.75" thickBot="1" x14ac:dyDescent="0.3">
      <c r="A1" s="9" t="s">
        <v>109</v>
      </c>
      <c r="B1" s="9" t="s">
        <v>110</v>
      </c>
      <c r="C1" s="9" t="s">
        <v>111</v>
      </c>
      <c r="D1" s="9" t="s">
        <v>132</v>
      </c>
      <c r="E1" s="18" t="s">
        <v>123</v>
      </c>
      <c r="F1" s="15" t="s">
        <v>133</v>
      </c>
      <c r="G1" s="15" t="s">
        <v>126</v>
      </c>
      <c r="H1" s="15" t="s">
        <v>127</v>
      </c>
      <c r="I1" s="15" t="s">
        <v>128</v>
      </c>
      <c r="J1" s="15" t="s">
        <v>178</v>
      </c>
    </row>
    <row r="2" spans="1:10" ht="15.75" thickBot="1" x14ac:dyDescent="0.3">
      <c r="A2" s="70" t="s">
        <v>222</v>
      </c>
      <c r="B2" s="70" t="s">
        <v>237</v>
      </c>
      <c r="C2" s="42" t="s">
        <v>145</v>
      </c>
      <c r="D2" s="15">
        <v>1</v>
      </c>
      <c r="E2" s="15">
        <v>3.6</v>
      </c>
      <c r="F2" s="15">
        <v>1.5</v>
      </c>
      <c r="G2" s="15">
        <v>2</v>
      </c>
      <c r="H2" s="25">
        <v>27.5</v>
      </c>
      <c r="I2" s="15">
        <f>D2*(E2-F2)</f>
        <v>2.1</v>
      </c>
      <c r="J2" s="15">
        <f t="shared" ref="J2:J16" si="0">(H2+I2)/D2</f>
        <v>29.6</v>
      </c>
    </row>
    <row r="3" spans="1:10" ht="15.75" thickBot="1" x14ac:dyDescent="0.3">
      <c r="A3" s="70"/>
      <c r="B3" s="70"/>
      <c r="C3" s="42" t="s">
        <v>146</v>
      </c>
      <c r="D3" s="15">
        <v>1</v>
      </c>
      <c r="E3" s="15">
        <v>3.6</v>
      </c>
      <c r="F3" s="15">
        <v>1.5</v>
      </c>
      <c r="G3" s="15">
        <v>2</v>
      </c>
      <c r="H3" s="25">
        <v>23</v>
      </c>
      <c r="I3" s="15">
        <f t="shared" ref="I3:I16" si="1">D3*(E3-F3)</f>
        <v>2.1</v>
      </c>
      <c r="J3" s="15">
        <f t="shared" si="0"/>
        <v>25.1</v>
      </c>
    </row>
    <row r="4" spans="1:10" ht="15.75" thickBot="1" x14ac:dyDescent="0.3">
      <c r="A4" s="70"/>
      <c r="B4" s="70"/>
      <c r="C4" s="42" t="s">
        <v>147</v>
      </c>
      <c r="D4" s="15">
        <v>1</v>
      </c>
      <c r="E4" s="15">
        <v>3.6</v>
      </c>
      <c r="F4" s="15">
        <v>1.5</v>
      </c>
      <c r="G4" s="15">
        <v>2</v>
      </c>
      <c r="H4" s="25">
        <v>18.2</v>
      </c>
      <c r="I4" s="15">
        <f t="shared" si="1"/>
        <v>2.1</v>
      </c>
      <c r="J4" s="15">
        <f t="shared" si="0"/>
        <v>20.3</v>
      </c>
    </row>
    <row r="5" spans="1:10" ht="15.75" thickBot="1" x14ac:dyDescent="0.3">
      <c r="A5" s="70"/>
      <c r="B5" s="70"/>
      <c r="C5" s="42" t="s">
        <v>148</v>
      </c>
      <c r="D5" s="15">
        <v>1</v>
      </c>
      <c r="E5" s="15">
        <v>3.6</v>
      </c>
      <c r="F5" s="15">
        <v>1.5</v>
      </c>
      <c r="G5" s="15">
        <v>2</v>
      </c>
      <c r="H5" s="25">
        <v>15</v>
      </c>
      <c r="I5" s="15">
        <f t="shared" si="1"/>
        <v>2.1</v>
      </c>
      <c r="J5" s="15">
        <f t="shared" si="0"/>
        <v>17.100000000000001</v>
      </c>
    </row>
    <row r="6" spans="1:10" ht="15.75" thickBot="1" x14ac:dyDescent="0.3">
      <c r="A6" s="70"/>
      <c r="B6" s="70"/>
      <c r="C6" s="42" t="s">
        <v>149</v>
      </c>
      <c r="D6" s="15">
        <v>1</v>
      </c>
      <c r="E6" s="15">
        <v>3.6</v>
      </c>
      <c r="F6" s="15">
        <v>1.5</v>
      </c>
      <c r="G6" s="15">
        <v>2</v>
      </c>
      <c r="H6" s="25">
        <v>13</v>
      </c>
      <c r="I6" s="15">
        <f t="shared" si="1"/>
        <v>2.1</v>
      </c>
      <c r="J6" s="15">
        <f t="shared" si="0"/>
        <v>15.1</v>
      </c>
    </row>
    <row r="7" spans="1:10" ht="15.75" thickBot="1" x14ac:dyDescent="0.3">
      <c r="A7" s="70"/>
      <c r="B7" s="70"/>
      <c r="C7" s="42" t="s">
        <v>150</v>
      </c>
      <c r="D7" s="15">
        <v>1</v>
      </c>
      <c r="E7" s="15">
        <v>3.6</v>
      </c>
      <c r="F7" s="15">
        <v>1.5</v>
      </c>
      <c r="G7" s="15">
        <v>2</v>
      </c>
      <c r="H7" s="25">
        <v>12.2</v>
      </c>
      <c r="I7" s="15">
        <f t="shared" si="1"/>
        <v>2.1</v>
      </c>
      <c r="J7" s="15">
        <f t="shared" si="0"/>
        <v>14.299999999999999</v>
      </c>
    </row>
    <row r="8" spans="1:10" ht="15.75" thickBot="1" x14ac:dyDescent="0.3">
      <c r="A8" s="70"/>
      <c r="B8" s="70"/>
      <c r="C8" s="42" t="s">
        <v>160</v>
      </c>
      <c r="D8" s="15">
        <v>1</v>
      </c>
      <c r="E8" s="15">
        <v>3.6</v>
      </c>
      <c r="F8" s="15">
        <v>1.5</v>
      </c>
      <c r="G8" s="15">
        <v>2</v>
      </c>
      <c r="H8" s="25">
        <v>16.5</v>
      </c>
      <c r="I8" s="15">
        <f t="shared" si="1"/>
        <v>2.1</v>
      </c>
      <c r="J8" s="15">
        <f t="shared" si="0"/>
        <v>18.600000000000001</v>
      </c>
    </row>
    <row r="9" spans="1:10" ht="15.75" thickBot="1" x14ac:dyDescent="0.3">
      <c r="A9" s="70"/>
      <c r="B9" s="70"/>
      <c r="C9" s="42" t="s">
        <v>161</v>
      </c>
      <c r="D9" s="15">
        <v>1</v>
      </c>
      <c r="E9" s="15">
        <v>3.6</v>
      </c>
      <c r="F9" s="15">
        <v>1.5</v>
      </c>
      <c r="G9" s="15">
        <v>2</v>
      </c>
      <c r="H9" s="25">
        <v>25.3</v>
      </c>
      <c r="I9" s="15">
        <f t="shared" si="1"/>
        <v>2.1</v>
      </c>
      <c r="J9" s="15">
        <f t="shared" si="0"/>
        <v>27.400000000000002</v>
      </c>
    </row>
    <row r="10" spans="1:10" ht="15.75" thickBot="1" x14ac:dyDescent="0.3">
      <c r="A10" s="70"/>
      <c r="B10" s="70"/>
      <c r="C10" s="42" t="s">
        <v>162</v>
      </c>
      <c r="D10" s="15">
        <v>1</v>
      </c>
      <c r="E10" s="15">
        <v>3.6</v>
      </c>
      <c r="F10" s="15">
        <v>1.5</v>
      </c>
      <c r="G10" s="15">
        <v>2</v>
      </c>
      <c r="H10" s="25">
        <v>22.7</v>
      </c>
      <c r="I10" s="15">
        <f t="shared" si="1"/>
        <v>2.1</v>
      </c>
      <c r="J10" s="15">
        <f t="shared" si="0"/>
        <v>24.8</v>
      </c>
    </row>
    <row r="11" spans="1:10" ht="15.75" thickBot="1" x14ac:dyDescent="0.3">
      <c r="A11" s="70"/>
      <c r="B11" s="70"/>
      <c r="C11" s="42" t="s">
        <v>169</v>
      </c>
      <c r="D11" s="15">
        <v>1</v>
      </c>
      <c r="E11" s="15">
        <v>3.6</v>
      </c>
      <c r="F11" s="15">
        <v>1.5</v>
      </c>
      <c r="G11" s="15">
        <v>2</v>
      </c>
      <c r="H11" s="25">
        <v>17</v>
      </c>
      <c r="I11" s="15">
        <f t="shared" si="1"/>
        <v>2.1</v>
      </c>
      <c r="J11" s="15">
        <f t="shared" si="0"/>
        <v>19.100000000000001</v>
      </c>
    </row>
    <row r="12" spans="1:10" ht="15.75" thickBot="1" x14ac:dyDescent="0.3">
      <c r="A12" s="70"/>
      <c r="B12" s="70"/>
      <c r="C12" s="42" t="s">
        <v>170</v>
      </c>
      <c r="D12" s="15">
        <v>1</v>
      </c>
      <c r="E12" s="15">
        <v>3.6</v>
      </c>
      <c r="F12" s="15">
        <v>1.5</v>
      </c>
      <c r="G12" s="15">
        <v>2</v>
      </c>
      <c r="H12" s="25">
        <v>23.5</v>
      </c>
      <c r="I12" s="15">
        <f t="shared" si="1"/>
        <v>2.1</v>
      </c>
      <c r="J12" s="15">
        <f t="shared" si="0"/>
        <v>25.6</v>
      </c>
    </row>
    <row r="13" spans="1:10" ht="15.75" thickBot="1" x14ac:dyDescent="0.3">
      <c r="A13" s="70"/>
      <c r="B13" s="70"/>
      <c r="C13" s="42" t="s">
        <v>171</v>
      </c>
      <c r="D13" s="15">
        <v>1</v>
      </c>
      <c r="E13" s="15">
        <v>3.6</v>
      </c>
      <c r="F13" s="15">
        <v>1.5</v>
      </c>
      <c r="G13" s="15">
        <v>2</v>
      </c>
      <c r="H13" s="25">
        <v>12.6</v>
      </c>
      <c r="I13" s="15">
        <f t="shared" si="1"/>
        <v>2.1</v>
      </c>
      <c r="J13" s="15">
        <f t="shared" si="0"/>
        <v>14.7</v>
      </c>
    </row>
    <row r="14" spans="1:10" ht="15.75" thickBot="1" x14ac:dyDescent="0.3">
      <c r="A14" s="70"/>
      <c r="B14" s="70"/>
      <c r="C14" s="42" t="s">
        <v>172</v>
      </c>
      <c r="D14" s="15">
        <v>1</v>
      </c>
      <c r="E14" s="15">
        <v>3.6</v>
      </c>
      <c r="F14" s="15">
        <v>1.5</v>
      </c>
      <c r="G14" s="15">
        <v>2</v>
      </c>
      <c r="H14" s="25">
        <v>9.5</v>
      </c>
      <c r="I14" s="15">
        <f t="shared" si="1"/>
        <v>2.1</v>
      </c>
      <c r="J14" s="15">
        <f t="shared" si="0"/>
        <v>11.6</v>
      </c>
    </row>
    <row r="15" spans="1:10" ht="15.75" thickBot="1" x14ac:dyDescent="0.3">
      <c r="A15" s="70"/>
      <c r="B15" s="70"/>
      <c r="C15" s="42" t="s">
        <v>173</v>
      </c>
      <c r="D15" s="15">
        <v>1</v>
      </c>
      <c r="E15" s="15">
        <v>3.6</v>
      </c>
      <c r="F15" s="15">
        <v>1.5</v>
      </c>
      <c r="G15" s="15">
        <v>2</v>
      </c>
      <c r="H15" s="25">
        <v>10.8</v>
      </c>
      <c r="I15" s="15">
        <f t="shared" si="1"/>
        <v>2.1</v>
      </c>
      <c r="J15" s="15">
        <f t="shared" si="0"/>
        <v>12.9</v>
      </c>
    </row>
    <row r="16" spans="1:10" ht="15.75" thickBot="1" x14ac:dyDescent="0.3">
      <c r="A16" s="70"/>
      <c r="B16" s="70"/>
      <c r="C16" s="42" t="s">
        <v>174</v>
      </c>
      <c r="D16" s="15">
        <v>1</v>
      </c>
      <c r="E16" s="15">
        <v>3.6</v>
      </c>
      <c r="F16" s="15">
        <v>1.5</v>
      </c>
      <c r="G16" s="15">
        <v>2</v>
      </c>
      <c r="H16" s="25">
        <v>14.1</v>
      </c>
      <c r="I16" s="15">
        <f t="shared" si="1"/>
        <v>2.1</v>
      </c>
      <c r="J16" s="15">
        <f t="shared" si="0"/>
        <v>16.2</v>
      </c>
    </row>
    <row r="17" spans="1:10" ht="15.75" thickBot="1" x14ac:dyDescent="0.3">
      <c r="A17" s="70"/>
      <c r="B17" s="15" t="s">
        <v>238</v>
      </c>
      <c r="C17" s="42" t="s">
        <v>146</v>
      </c>
      <c r="D17" s="15">
        <v>1</v>
      </c>
      <c r="E17" s="15">
        <v>3.6</v>
      </c>
      <c r="F17" s="15">
        <v>1.5</v>
      </c>
      <c r="G17" s="15">
        <v>2</v>
      </c>
      <c r="H17" s="25">
        <v>40</v>
      </c>
      <c r="I17" s="15">
        <f>D17*(E17-F17)</f>
        <v>2.1</v>
      </c>
      <c r="J17" s="15">
        <f>(H17+I17)/D17</f>
        <v>42.1</v>
      </c>
    </row>
    <row r="18" spans="1:10" ht="15.75" thickBot="1" x14ac:dyDescent="0.3">
      <c r="G18" s="80" t="s">
        <v>159</v>
      </c>
      <c r="H18" s="80"/>
      <c r="I18" s="80"/>
      <c r="J18" s="25">
        <f>SUM(J2:J17)/16</f>
        <v>20.90625</v>
      </c>
    </row>
    <row r="19" spans="1:10" ht="15.75" thickBot="1" x14ac:dyDescent="0.3">
      <c r="E19" s="81" t="s">
        <v>260</v>
      </c>
      <c r="F19" s="82"/>
      <c r="G19" s="52"/>
      <c r="H19" s="52"/>
      <c r="I19" s="52"/>
      <c r="J19" s="16"/>
    </row>
    <row r="20" spans="1:10" ht="15.75" thickBot="1" x14ac:dyDescent="0.3">
      <c r="A20" s="15" t="s">
        <v>222</v>
      </c>
      <c r="B20" s="15" t="s">
        <v>237</v>
      </c>
      <c r="C20" s="42" t="s">
        <v>259</v>
      </c>
      <c r="D20" s="15">
        <v>1</v>
      </c>
      <c r="E20" s="15">
        <v>3.6</v>
      </c>
      <c r="F20" s="15">
        <v>1.5</v>
      </c>
      <c r="G20" s="15">
        <v>2</v>
      </c>
      <c r="H20" s="25">
        <v>16.2</v>
      </c>
      <c r="I20" s="15">
        <f>D20*(E20-F20)</f>
        <v>2.1</v>
      </c>
      <c r="J20" s="15">
        <f>(H20+I20)/D20</f>
        <v>18.3</v>
      </c>
    </row>
  </sheetData>
  <mergeCells count="4">
    <mergeCell ref="G18:I18"/>
    <mergeCell ref="B2:B16"/>
    <mergeCell ref="A2:A17"/>
    <mergeCell ref="E19:F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D3369-D149-4F2A-84EA-C77386E0DE47}">
  <dimension ref="A1:M8"/>
  <sheetViews>
    <sheetView workbookViewId="0">
      <selection activeCell="C11" sqref="C11"/>
    </sheetView>
  </sheetViews>
  <sheetFormatPr defaultRowHeight="15" x14ac:dyDescent="0.25"/>
  <cols>
    <col min="1" max="1" width="11" bestFit="1" customWidth="1"/>
    <col min="2" max="2" width="11" customWidth="1"/>
    <col min="3" max="3" width="6.5703125" bestFit="1" customWidth="1"/>
    <col min="4" max="4" width="13.140625" bestFit="1" customWidth="1"/>
    <col min="5" max="5" width="9.85546875" bestFit="1" customWidth="1"/>
    <col min="6" max="7" width="17.5703125" bestFit="1" customWidth="1"/>
    <col min="8" max="8" width="11.140625" bestFit="1" customWidth="1"/>
    <col min="9" max="9" width="5" bestFit="1" customWidth="1"/>
    <col min="10" max="10" width="11.140625" bestFit="1" customWidth="1"/>
    <col min="11" max="11" width="11.85546875" bestFit="1" customWidth="1"/>
    <col min="12" max="13" width="14.5703125" bestFit="1" customWidth="1"/>
  </cols>
  <sheetData>
    <row r="1" spans="1:13" ht="15.75" thickBot="1" x14ac:dyDescent="0.3">
      <c r="A1" s="83" t="s">
        <v>180</v>
      </c>
      <c r="B1" s="84"/>
      <c r="C1" s="84"/>
      <c r="D1" s="84"/>
      <c r="E1" s="84"/>
      <c r="F1" s="84"/>
      <c r="G1" s="84"/>
      <c r="H1" s="84"/>
      <c r="I1" s="84"/>
      <c r="J1" s="84"/>
      <c r="K1" s="84"/>
      <c r="L1" s="85"/>
    </row>
    <row r="2" spans="1:13" ht="15.75" thickBot="1" x14ac:dyDescent="0.3">
      <c r="A2" s="9" t="s">
        <v>109</v>
      </c>
      <c r="B2" s="9" t="s">
        <v>110</v>
      </c>
      <c r="C2" s="9" t="s">
        <v>111</v>
      </c>
      <c r="D2" s="9" t="s">
        <v>181</v>
      </c>
      <c r="E2" s="18" t="s">
        <v>123</v>
      </c>
      <c r="F2" s="18" t="s">
        <v>124</v>
      </c>
      <c r="G2" s="15" t="s">
        <v>126</v>
      </c>
      <c r="H2" s="15" t="s">
        <v>127</v>
      </c>
      <c r="I2" s="15" t="s">
        <v>128</v>
      </c>
      <c r="J2" s="15" t="s">
        <v>129</v>
      </c>
      <c r="K2" s="15" t="s">
        <v>130</v>
      </c>
      <c r="L2" s="15" t="s">
        <v>131</v>
      </c>
    </row>
    <row r="3" spans="1:13" ht="15.75" thickBot="1" x14ac:dyDescent="0.3">
      <c r="A3" s="15" t="s">
        <v>222</v>
      </c>
      <c r="B3" s="15" t="s">
        <v>234</v>
      </c>
      <c r="C3" s="49" t="s">
        <v>112</v>
      </c>
      <c r="D3" s="15">
        <v>44</v>
      </c>
      <c r="E3" s="15">
        <v>3.6</v>
      </c>
      <c r="F3" s="15">
        <v>3.1</v>
      </c>
      <c r="G3" s="15">
        <v>2</v>
      </c>
      <c r="H3" s="25">
        <v>192.5</v>
      </c>
      <c r="I3" s="15">
        <v>0</v>
      </c>
      <c r="J3" s="15">
        <f>2*D3*(E3-F3)</f>
        <v>44</v>
      </c>
      <c r="K3" s="15">
        <f>H3+J3</f>
        <v>236.5</v>
      </c>
      <c r="L3" s="15">
        <f>K3/D3</f>
        <v>5.375</v>
      </c>
    </row>
    <row r="4" spans="1:13" x14ac:dyDescent="0.25">
      <c r="A4" s="16"/>
      <c r="B4" s="16"/>
      <c r="C4" s="16"/>
      <c r="D4" s="16"/>
      <c r="E4" s="16"/>
      <c r="F4" s="16"/>
      <c r="G4" s="16"/>
      <c r="H4" s="16"/>
      <c r="I4" s="16"/>
      <c r="J4" s="16"/>
      <c r="K4" s="16"/>
      <c r="L4" s="16"/>
    </row>
    <row r="5" spans="1:13" ht="15.75" thickBot="1" x14ac:dyDescent="0.3">
      <c r="A5" s="16"/>
      <c r="B5" s="16"/>
      <c r="C5" s="16"/>
      <c r="D5" s="16"/>
      <c r="E5" s="16"/>
      <c r="F5" s="16"/>
      <c r="G5" s="16"/>
      <c r="H5" s="16"/>
      <c r="I5" s="16"/>
      <c r="J5" s="16"/>
      <c r="K5" s="16"/>
      <c r="L5" s="16"/>
    </row>
    <row r="6" spans="1:13" ht="15.75" thickBot="1" x14ac:dyDescent="0.3">
      <c r="A6" s="83" t="s">
        <v>96</v>
      </c>
      <c r="B6" s="84"/>
      <c r="C6" s="84"/>
      <c r="D6" s="84"/>
      <c r="E6" s="84"/>
      <c r="F6" s="84"/>
      <c r="G6" s="84"/>
      <c r="H6" s="84"/>
      <c r="I6" s="84"/>
      <c r="J6" s="84"/>
      <c r="K6" s="84"/>
      <c r="L6" s="84"/>
      <c r="M6" s="85"/>
    </row>
    <row r="7" spans="1:13" ht="15.75" thickBot="1" x14ac:dyDescent="0.3">
      <c r="A7" s="9" t="s">
        <v>109</v>
      </c>
      <c r="B7" s="9" t="s">
        <v>110</v>
      </c>
      <c r="C7" s="9" t="s">
        <v>111</v>
      </c>
      <c r="D7" s="9" t="s">
        <v>182</v>
      </c>
      <c r="E7" s="18" t="s">
        <v>123</v>
      </c>
      <c r="F7" s="9" t="s">
        <v>183</v>
      </c>
      <c r="G7" s="18" t="s">
        <v>124</v>
      </c>
      <c r="H7" s="15" t="s">
        <v>126</v>
      </c>
      <c r="I7" s="15" t="s">
        <v>127</v>
      </c>
      <c r="J7" s="15" t="s">
        <v>128</v>
      </c>
      <c r="K7" s="15" t="s">
        <v>129</v>
      </c>
      <c r="L7" s="15" t="s">
        <v>130</v>
      </c>
      <c r="M7" s="15" t="s">
        <v>131</v>
      </c>
    </row>
    <row r="8" spans="1:13" ht="15.75" thickBot="1" x14ac:dyDescent="0.3">
      <c r="A8" s="15" t="s">
        <v>222</v>
      </c>
      <c r="B8" s="15" t="s">
        <v>234</v>
      </c>
      <c r="C8" s="50" t="s">
        <v>112</v>
      </c>
      <c r="D8" s="15">
        <v>4</v>
      </c>
      <c r="E8" s="15">
        <v>3.6</v>
      </c>
      <c r="F8" s="15">
        <v>2</v>
      </c>
      <c r="G8" s="15">
        <v>3.1</v>
      </c>
      <c r="H8" s="15">
        <v>2</v>
      </c>
      <c r="I8" s="25">
        <v>66.8</v>
      </c>
      <c r="J8" s="15">
        <f>2*D8*(G8-F8)</f>
        <v>8.8000000000000007</v>
      </c>
      <c r="K8" s="15">
        <f>2*D8*(E8-G8)</f>
        <v>4</v>
      </c>
      <c r="L8" s="15">
        <f>I8+K8+J8</f>
        <v>79.599999999999994</v>
      </c>
      <c r="M8" s="15">
        <f>L8/D8</f>
        <v>19.899999999999999</v>
      </c>
    </row>
  </sheetData>
  <mergeCells count="2">
    <mergeCell ref="A1:L1"/>
    <mergeCell ref="A6:M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30EFB-47BB-4205-B970-A0BF5E717CB8}">
  <dimension ref="A1:J46"/>
  <sheetViews>
    <sheetView workbookViewId="0">
      <selection activeCell="C9" sqref="C9"/>
    </sheetView>
  </sheetViews>
  <sheetFormatPr defaultRowHeight="15" x14ac:dyDescent="0.25"/>
  <cols>
    <col min="1" max="1" width="9.85546875" bestFit="1" customWidth="1"/>
    <col min="2" max="2" width="4.7109375" bestFit="1" customWidth="1"/>
    <col min="3" max="3" width="18.140625" bestFit="1" customWidth="1"/>
    <col min="4" max="4" width="9.85546875" bestFit="1" customWidth="1"/>
    <col min="5" max="5" width="12" bestFit="1" customWidth="1"/>
    <col min="6" max="6" width="11.140625" bestFit="1" customWidth="1"/>
    <col min="7" max="7" width="4.7109375" bestFit="1" customWidth="1"/>
    <col min="8" max="8" width="5" bestFit="1" customWidth="1"/>
    <col min="9" max="9" width="11.85546875" bestFit="1" customWidth="1"/>
    <col min="10" max="10" width="11.28515625" bestFit="1" customWidth="1"/>
  </cols>
  <sheetData>
    <row r="1" spans="1:10" ht="15.75" thickBot="1" x14ac:dyDescent="0.3">
      <c r="A1" s="9" t="s">
        <v>109</v>
      </c>
      <c r="B1" s="9" t="s">
        <v>111</v>
      </c>
      <c r="C1" s="9" t="s">
        <v>187</v>
      </c>
      <c r="D1" s="18" t="s">
        <v>123</v>
      </c>
      <c r="E1" s="9" t="s">
        <v>188</v>
      </c>
      <c r="F1" s="9" t="s">
        <v>126</v>
      </c>
      <c r="G1" s="9" t="s">
        <v>127</v>
      </c>
      <c r="H1" s="9" t="s">
        <v>128</v>
      </c>
      <c r="I1" s="9" t="s">
        <v>130</v>
      </c>
      <c r="J1" s="9" t="s">
        <v>178</v>
      </c>
    </row>
    <row r="2" spans="1:10" ht="15.75" thickBot="1" x14ac:dyDescent="0.3">
      <c r="A2" s="89" t="s">
        <v>222</v>
      </c>
      <c r="B2" s="60" t="s">
        <v>112</v>
      </c>
      <c r="C2" s="15">
        <v>1</v>
      </c>
      <c r="D2" s="15">
        <v>3.6</v>
      </c>
      <c r="E2" s="15">
        <v>0.6</v>
      </c>
      <c r="F2" s="15">
        <v>2</v>
      </c>
      <c r="G2" s="36">
        <v>3.4</v>
      </c>
      <c r="H2" s="15">
        <f>(D2-E2)+(D2-F2)</f>
        <v>4.5999999999999996</v>
      </c>
      <c r="I2" s="15">
        <f>G2+H2</f>
        <v>8</v>
      </c>
      <c r="J2" s="15">
        <f>I2/C2</f>
        <v>8</v>
      </c>
    </row>
    <row r="3" spans="1:10" ht="15.75" thickBot="1" x14ac:dyDescent="0.3">
      <c r="A3" s="90"/>
      <c r="B3" s="60" t="s">
        <v>113</v>
      </c>
      <c r="C3" s="15">
        <v>1</v>
      </c>
      <c r="D3" s="15">
        <v>3.6</v>
      </c>
      <c r="E3" s="15">
        <v>0.6</v>
      </c>
      <c r="F3" s="15">
        <v>2</v>
      </c>
      <c r="G3" s="37">
        <v>3.5</v>
      </c>
      <c r="H3" s="15">
        <f t="shared" ref="H3:H34" si="0">(D3-E3)+(D3-F3)</f>
        <v>4.5999999999999996</v>
      </c>
      <c r="I3" s="15">
        <f t="shared" ref="I3:I34" si="1">G3+H3</f>
        <v>8.1</v>
      </c>
      <c r="J3" s="15">
        <f t="shared" ref="J3:J34" si="2">I3/C3</f>
        <v>8.1</v>
      </c>
    </row>
    <row r="4" spans="1:10" ht="15.75" thickBot="1" x14ac:dyDescent="0.3">
      <c r="A4" s="90"/>
      <c r="B4" s="60" t="s">
        <v>114</v>
      </c>
      <c r="C4" s="15">
        <v>1</v>
      </c>
      <c r="D4" s="15">
        <v>3.6</v>
      </c>
      <c r="E4" s="15">
        <v>0.6</v>
      </c>
      <c r="F4" s="15">
        <v>2</v>
      </c>
      <c r="G4" s="37">
        <v>5</v>
      </c>
      <c r="H4" s="15">
        <f t="shared" si="0"/>
        <v>4.5999999999999996</v>
      </c>
      <c r="I4" s="15">
        <f t="shared" si="1"/>
        <v>9.6</v>
      </c>
      <c r="J4" s="15">
        <f t="shared" si="2"/>
        <v>9.6</v>
      </c>
    </row>
    <row r="5" spans="1:10" ht="15.75" thickBot="1" x14ac:dyDescent="0.3">
      <c r="A5" s="90"/>
      <c r="B5" s="60" t="s">
        <v>115</v>
      </c>
      <c r="C5" s="15">
        <v>1</v>
      </c>
      <c r="D5" s="15">
        <v>3.6</v>
      </c>
      <c r="E5" s="15">
        <v>0.6</v>
      </c>
      <c r="F5" s="15">
        <v>2</v>
      </c>
      <c r="G5" s="37">
        <v>5.0999999999999996</v>
      </c>
      <c r="H5" s="15">
        <f t="shared" si="0"/>
        <v>4.5999999999999996</v>
      </c>
      <c r="I5" s="15">
        <f t="shared" si="1"/>
        <v>9.6999999999999993</v>
      </c>
      <c r="J5" s="15">
        <f t="shared" si="2"/>
        <v>9.6999999999999993</v>
      </c>
    </row>
    <row r="6" spans="1:10" ht="15.75" thickBot="1" x14ac:dyDescent="0.3">
      <c r="A6" s="90"/>
      <c r="B6" s="60" t="s">
        <v>116</v>
      </c>
      <c r="C6" s="15">
        <v>1</v>
      </c>
      <c r="D6" s="15">
        <v>3.6</v>
      </c>
      <c r="E6" s="15">
        <v>0.6</v>
      </c>
      <c r="F6" s="15">
        <v>2</v>
      </c>
      <c r="G6" s="37">
        <v>14.4</v>
      </c>
      <c r="H6" s="15">
        <f t="shared" si="0"/>
        <v>4.5999999999999996</v>
      </c>
      <c r="I6" s="15">
        <f t="shared" si="1"/>
        <v>19</v>
      </c>
      <c r="J6" s="15">
        <f t="shared" si="2"/>
        <v>19</v>
      </c>
    </row>
    <row r="7" spans="1:10" ht="15.75" thickBot="1" x14ac:dyDescent="0.3">
      <c r="A7" s="90"/>
      <c r="B7" s="60" t="s">
        <v>117</v>
      </c>
      <c r="C7" s="15">
        <v>1</v>
      </c>
      <c r="D7" s="15">
        <v>3.6</v>
      </c>
      <c r="E7" s="15">
        <v>0.6</v>
      </c>
      <c r="F7" s="15">
        <v>2</v>
      </c>
      <c r="G7" s="37">
        <v>14.2</v>
      </c>
      <c r="H7" s="15">
        <f t="shared" si="0"/>
        <v>4.5999999999999996</v>
      </c>
      <c r="I7" s="15">
        <f t="shared" si="1"/>
        <v>18.799999999999997</v>
      </c>
      <c r="J7" s="15">
        <f t="shared" si="2"/>
        <v>18.799999999999997</v>
      </c>
    </row>
    <row r="8" spans="1:10" ht="15.75" thickBot="1" x14ac:dyDescent="0.3">
      <c r="A8" s="90"/>
      <c r="B8" s="60" t="s">
        <v>118</v>
      </c>
      <c r="C8" s="15">
        <v>1</v>
      </c>
      <c r="D8" s="15">
        <v>3.6</v>
      </c>
      <c r="E8" s="15">
        <v>0.6</v>
      </c>
      <c r="F8" s="15">
        <v>2</v>
      </c>
      <c r="G8" s="37">
        <v>11.5</v>
      </c>
      <c r="H8" s="15">
        <f t="shared" si="0"/>
        <v>4.5999999999999996</v>
      </c>
      <c r="I8" s="15">
        <f t="shared" si="1"/>
        <v>16.100000000000001</v>
      </c>
      <c r="J8" s="15">
        <f t="shared" si="2"/>
        <v>16.100000000000001</v>
      </c>
    </row>
    <row r="9" spans="1:10" ht="15.75" thickBot="1" x14ac:dyDescent="0.3">
      <c r="A9" s="90"/>
      <c r="B9" s="60" t="s">
        <v>119</v>
      </c>
      <c r="C9" s="15">
        <v>1</v>
      </c>
      <c r="D9" s="15">
        <v>3.6</v>
      </c>
      <c r="E9" s="15">
        <v>0.6</v>
      </c>
      <c r="F9" s="15">
        <v>2</v>
      </c>
      <c r="G9" s="37">
        <v>11.4</v>
      </c>
      <c r="H9" s="15">
        <f t="shared" si="0"/>
        <v>4.5999999999999996</v>
      </c>
      <c r="I9" s="15">
        <f t="shared" si="1"/>
        <v>16</v>
      </c>
      <c r="J9" s="15">
        <f t="shared" si="2"/>
        <v>16</v>
      </c>
    </row>
    <row r="10" spans="1:10" ht="15.75" thickBot="1" x14ac:dyDescent="0.3">
      <c r="A10" s="90"/>
      <c r="B10" s="60" t="s">
        <v>120</v>
      </c>
      <c r="C10" s="15">
        <v>1</v>
      </c>
      <c r="D10" s="15">
        <v>3.6</v>
      </c>
      <c r="E10" s="15">
        <v>0.6</v>
      </c>
      <c r="F10" s="15">
        <v>2</v>
      </c>
      <c r="G10" s="37">
        <v>4.3</v>
      </c>
      <c r="H10" s="15">
        <f t="shared" si="0"/>
        <v>4.5999999999999996</v>
      </c>
      <c r="I10" s="15">
        <f t="shared" si="1"/>
        <v>8.8999999999999986</v>
      </c>
      <c r="J10" s="15">
        <f t="shared" si="2"/>
        <v>8.8999999999999986</v>
      </c>
    </row>
    <row r="11" spans="1:10" ht="15.75" thickBot="1" x14ac:dyDescent="0.3">
      <c r="A11" s="90"/>
      <c r="B11" s="60" t="s">
        <v>121</v>
      </c>
      <c r="C11" s="15">
        <v>1</v>
      </c>
      <c r="D11" s="15">
        <v>3.6</v>
      </c>
      <c r="E11" s="15">
        <v>0.6</v>
      </c>
      <c r="F11" s="15">
        <v>2</v>
      </c>
      <c r="G11" s="37">
        <v>4.2</v>
      </c>
      <c r="H11" s="15">
        <f t="shared" si="0"/>
        <v>4.5999999999999996</v>
      </c>
      <c r="I11" s="15">
        <f t="shared" si="1"/>
        <v>8.8000000000000007</v>
      </c>
      <c r="J11" s="15">
        <f t="shared" si="2"/>
        <v>8.8000000000000007</v>
      </c>
    </row>
    <row r="12" spans="1:10" ht="15.75" thickBot="1" x14ac:dyDescent="0.3">
      <c r="A12" s="90"/>
      <c r="B12" s="60" t="s">
        <v>134</v>
      </c>
      <c r="C12" s="15">
        <v>1</v>
      </c>
      <c r="D12" s="15">
        <v>3.6</v>
      </c>
      <c r="E12" s="15">
        <v>0.6</v>
      </c>
      <c r="F12" s="15">
        <v>2</v>
      </c>
      <c r="G12" s="37">
        <v>4.3</v>
      </c>
      <c r="H12" s="15">
        <f t="shared" si="0"/>
        <v>4.5999999999999996</v>
      </c>
      <c r="I12" s="15">
        <f t="shared" si="1"/>
        <v>8.8999999999999986</v>
      </c>
      <c r="J12" s="15">
        <f t="shared" si="2"/>
        <v>8.8999999999999986</v>
      </c>
    </row>
    <row r="13" spans="1:10" ht="15.75" thickBot="1" x14ac:dyDescent="0.3">
      <c r="A13" s="90"/>
      <c r="B13" s="60" t="s">
        <v>135</v>
      </c>
      <c r="C13" s="15">
        <v>1</v>
      </c>
      <c r="D13" s="15">
        <v>3.6</v>
      </c>
      <c r="E13" s="15">
        <v>0.6</v>
      </c>
      <c r="F13" s="15">
        <v>2</v>
      </c>
      <c r="G13" s="37">
        <v>4.2</v>
      </c>
      <c r="H13" s="15">
        <f t="shared" si="0"/>
        <v>4.5999999999999996</v>
      </c>
      <c r="I13" s="15">
        <f t="shared" si="1"/>
        <v>8.8000000000000007</v>
      </c>
      <c r="J13" s="15">
        <f t="shared" si="2"/>
        <v>8.8000000000000007</v>
      </c>
    </row>
    <row r="14" spans="1:10" ht="15.75" thickBot="1" x14ac:dyDescent="0.3">
      <c r="A14" s="90"/>
      <c r="B14" s="60" t="s">
        <v>136</v>
      </c>
      <c r="C14" s="15">
        <v>1</v>
      </c>
      <c r="D14" s="15">
        <v>3.6</v>
      </c>
      <c r="E14" s="15">
        <v>0.6</v>
      </c>
      <c r="F14" s="15">
        <v>2</v>
      </c>
      <c r="G14" s="37">
        <v>15.6</v>
      </c>
      <c r="H14" s="15">
        <f t="shared" si="0"/>
        <v>4.5999999999999996</v>
      </c>
      <c r="I14" s="15">
        <f t="shared" si="1"/>
        <v>20.2</v>
      </c>
      <c r="J14" s="15">
        <f t="shared" si="2"/>
        <v>20.2</v>
      </c>
    </row>
    <row r="15" spans="1:10" ht="15.75" thickBot="1" x14ac:dyDescent="0.3">
      <c r="A15" s="90"/>
      <c r="B15" s="60" t="s">
        <v>137</v>
      </c>
      <c r="C15" s="15">
        <v>1</v>
      </c>
      <c r="D15" s="15">
        <v>3.6</v>
      </c>
      <c r="E15" s="15">
        <v>0.6</v>
      </c>
      <c r="F15" s="15">
        <v>2</v>
      </c>
      <c r="G15" s="37">
        <v>16</v>
      </c>
      <c r="H15" s="15">
        <f t="shared" si="0"/>
        <v>4.5999999999999996</v>
      </c>
      <c r="I15" s="15">
        <f t="shared" si="1"/>
        <v>20.6</v>
      </c>
      <c r="J15" s="15">
        <f t="shared" si="2"/>
        <v>20.6</v>
      </c>
    </row>
    <row r="16" spans="1:10" ht="15.75" thickBot="1" x14ac:dyDescent="0.3">
      <c r="A16" s="90"/>
      <c r="B16" s="60" t="s">
        <v>138</v>
      </c>
      <c r="C16" s="15">
        <v>1</v>
      </c>
      <c r="D16" s="15">
        <v>3.6</v>
      </c>
      <c r="E16" s="15">
        <v>0.6</v>
      </c>
      <c r="F16" s="15">
        <v>2</v>
      </c>
      <c r="G16" s="37">
        <v>6.2</v>
      </c>
      <c r="H16" s="15">
        <f t="shared" si="0"/>
        <v>4.5999999999999996</v>
      </c>
      <c r="I16" s="15">
        <f t="shared" si="1"/>
        <v>10.8</v>
      </c>
      <c r="J16" s="15">
        <f t="shared" si="2"/>
        <v>10.8</v>
      </c>
    </row>
    <row r="17" spans="1:10" ht="15.75" thickBot="1" x14ac:dyDescent="0.3">
      <c r="A17" s="90"/>
      <c r="B17" s="60" t="s">
        <v>139</v>
      </c>
      <c r="C17" s="15">
        <v>1</v>
      </c>
      <c r="D17" s="15">
        <v>3.6</v>
      </c>
      <c r="E17" s="15">
        <v>0.6</v>
      </c>
      <c r="F17" s="15">
        <v>2</v>
      </c>
      <c r="G17" s="37">
        <v>6.4</v>
      </c>
      <c r="H17" s="15">
        <f t="shared" si="0"/>
        <v>4.5999999999999996</v>
      </c>
      <c r="I17" s="15">
        <f t="shared" si="1"/>
        <v>11</v>
      </c>
      <c r="J17" s="15">
        <f t="shared" si="2"/>
        <v>11</v>
      </c>
    </row>
    <row r="18" spans="1:10" ht="15.75" thickBot="1" x14ac:dyDescent="0.3">
      <c r="A18" s="90"/>
      <c r="B18" s="60" t="s">
        <v>140</v>
      </c>
      <c r="C18" s="15">
        <v>1</v>
      </c>
      <c r="D18" s="15">
        <v>3.6</v>
      </c>
      <c r="E18" s="15">
        <v>0.6</v>
      </c>
      <c r="F18" s="15">
        <v>2</v>
      </c>
      <c r="G18" s="37">
        <v>20</v>
      </c>
      <c r="H18" s="15">
        <f t="shared" si="0"/>
        <v>4.5999999999999996</v>
      </c>
      <c r="I18" s="15">
        <f t="shared" si="1"/>
        <v>24.6</v>
      </c>
      <c r="J18" s="15">
        <f t="shared" si="2"/>
        <v>24.6</v>
      </c>
    </row>
    <row r="19" spans="1:10" ht="15.75" thickBot="1" x14ac:dyDescent="0.3">
      <c r="A19" s="90"/>
      <c r="B19" s="60" t="s">
        <v>141</v>
      </c>
      <c r="C19" s="15">
        <v>1</v>
      </c>
      <c r="D19" s="15">
        <v>3.6</v>
      </c>
      <c r="E19" s="15">
        <v>0.6</v>
      </c>
      <c r="F19" s="15">
        <v>2</v>
      </c>
      <c r="G19" s="37">
        <v>20</v>
      </c>
      <c r="H19" s="15">
        <f t="shared" si="0"/>
        <v>4.5999999999999996</v>
      </c>
      <c r="I19" s="15">
        <f t="shared" si="1"/>
        <v>24.6</v>
      </c>
      <c r="J19" s="15">
        <f t="shared" si="2"/>
        <v>24.6</v>
      </c>
    </row>
    <row r="20" spans="1:10" ht="15.75" thickBot="1" x14ac:dyDescent="0.3">
      <c r="A20" s="90"/>
      <c r="B20" s="60" t="s">
        <v>142</v>
      </c>
      <c r="C20" s="15">
        <v>1</v>
      </c>
      <c r="D20" s="15">
        <v>3.6</v>
      </c>
      <c r="E20" s="15">
        <v>0.6</v>
      </c>
      <c r="F20" s="15">
        <v>2</v>
      </c>
      <c r="G20" s="37">
        <v>5.6</v>
      </c>
      <c r="H20" s="15">
        <f t="shared" si="0"/>
        <v>4.5999999999999996</v>
      </c>
      <c r="I20" s="15">
        <f t="shared" si="1"/>
        <v>10.199999999999999</v>
      </c>
      <c r="J20" s="15">
        <f t="shared" si="2"/>
        <v>10.199999999999999</v>
      </c>
    </row>
    <row r="21" spans="1:10" ht="15.75" thickBot="1" x14ac:dyDescent="0.3">
      <c r="A21" s="90"/>
      <c r="B21" s="60" t="s">
        <v>143</v>
      </c>
      <c r="C21" s="15">
        <v>1</v>
      </c>
      <c r="D21" s="15">
        <v>3.6</v>
      </c>
      <c r="E21" s="15">
        <v>0.6</v>
      </c>
      <c r="F21" s="15">
        <v>2</v>
      </c>
      <c r="G21" s="37">
        <v>5.8</v>
      </c>
      <c r="H21" s="15">
        <f t="shared" si="0"/>
        <v>4.5999999999999996</v>
      </c>
      <c r="I21" s="15">
        <f t="shared" si="1"/>
        <v>10.399999999999999</v>
      </c>
      <c r="J21" s="15">
        <f t="shared" si="2"/>
        <v>10.399999999999999</v>
      </c>
    </row>
    <row r="22" spans="1:10" ht="15.75" thickBot="1" x14ac:dyDescent="0.3">
      <c r="A22" s="90"/>
      <c r="B22" s="60" t="s">
        <v>144</v>
      </c>
      <c r="C22" s="15">
        <v>1</v>
      </c>
      <c r="D22" s="15">
        <v>3.6</v>
      </c>
      <c r="E22" s="15">
        <v>0.6</v>
      </c>
      <c r="F22" s="15">
        <v>2</v>
      </c>
      <c r="G22" s="37">
        <v>6.3</v>
      </c>
      <c r="H22" s="15">
        <f t="shared" si="0"/>
        <v>4.5999999999999996</v>
      </c>
      <c r="I22" s="15">
        <f t="shared" si="1"/>
        <v>10.899999999999999</v>
      </c>
      <c r="J22" s="15">
        <f t="shared" si="2"/>
        <v>10.899999999999999</v>
      </c>
    </row>
    <row r="23" spans="1:10" ht="15.75" thickBot="1" x14ac:dyDescent="0.3">
      <c r="A23" s="90"/>
      <c r="B23" s="60" t="s">
        <v>145</v>
      </c>
      <c r="C23" s="15">
        <v>1</v>
      </c>
      <c r="D23" s="15">
        <v>3.6</v>
      </c>
      <c r="E23" s="15">
        <v>0.6</v>
      </c>
      <c r="F23" s="15">
        <v>2</v>
      </c>
      <c r="G23" s="37">
        <v>6.5</v>
      </c>
      <c r="H23" s="15">
        <f t="shared" si="0"/>
        <v>4.5999999999999996</v>
      </c>
      <c r="I23" s="15">
        <f t="shared" si="1"/>
        <v>11.1</v>
      </c>
      <c r="J23" s="15">
        <f t="shared" si="2"/>
        <v>11.1</v>
      </c>
    </row>
    <row r="24" spans="1:10" ht="15.75" thickBot="1" x14ac:dyDescent="0.3">
      <c r="A24" s="90"/>
      <c r="B24" s="60" t="s">
        <v>146</v>
      </c>
      <c r="C24" s="15">
        <v>1</v>
      </c>
      <c r="D24" s="15">
        <v>3.6</v>
      </c>
      <c r="E24" s="15">
        <v>0.6</v>
      </c>
      <c r="F24" s="15">
        <v>2</v>
      </c>
      <c r="G24" s="37">
        <v>9.5</v>
      </c>
      <c r="H24" s="15">
        <f t="shared" si="0"/>
        <v>4.5999999999999996</v>
      </c>
      <c r="I24" s="15">
        <f t="shared" si="1"/>
        <v>14.1</v>
      </c>
      <c r="J24" s="15">
        <f t="shared" si="2"/>
        <v>14.1</v>
      </c>
    </row>
    <row r="25" spans="1:10" ht="15.75" thickBot="1" x14ac:dyDescent="0.3">
      <c r="A25" s="90"/>
      <c r="B25" s="60" t="s">
        <v>147</v>
      </c>
      <c r="C25" s="15">
        <v>1</v>
      </c>
      <c r="D25" s="15">
        <v>3.6</v>
      </c>
      <c r="E25" s="15">
        <v>0.6</v>
      </c>
      <c r="F25" s="15">
        <v>2</v>
      </c>
      <c r="G25" s="37">
        <v>9.5</v>
      </c>
      <c r="H25" s="15">
        <f t="shared" si="0"/>
        <v>4.5999999999999996</v>
      </c>
      <c r="I25" s="15">
        <f t="shared" si="1"/>
        <v>14.1</v>
      </c>
      <c r="J25" s="15">
        <f t="shared" si="2"/>
        <v>14.1</v>
      </c>
    </row>
    <row r="26" spans="1:10" ht="15.75" thickBot="1" x14ac:dyDescent="0.3">
      <c r="A26" s="90"/>
      <c r="B26" s="60" t="s">
        <v>148</v>
      </c>
      <c r="C26" s="15">
        <v>1</v>
      </c>
      <c r="D26" s="15">
        <v>3.6</v>
      </c>
      <c r="E26" s="15">
        <v>0.6</v>
      </c>
      <c r="F26" s="15">
        <v>2</v>
      </c>
      <c r="G26" s="37">
        <v>13</v>
      </c>
      <c r="H26" s="15">
        <f t="shared" si="0"/>
        <v>4.5999999999999996</v>
      </c>
      <c r="I26" s="15">
        <f t="shared" si="1"/>
        <v>17.600000000000001</v>
      </c>
      <c r="J26" s="15">
        <f t="shared" si="2"/>
        <v>17.600000000000001</v>
      </c>
    </row>
    <row r="27" spans="1:10" ht="15.75" thickBot="1" x14ac:dyDescent="0.3">
      <c r="A27" s="90"/>
      <c r="B27" s="60" t="s">
        <v>149</v>
      </c>
      <c r="C27" s="15">
        <v>1</v>
      </c>
      <c r="D27" s="15">
        <v>3.6</v>
      </c>
      <c r="E27" s="15">
        <v>0.6</v>
      </c>
      <c r="F27" s="15">
        <v>2</v>
      </c>
      <c r="G27" s="37">
        <v>13</v>
      </c>
      <c r="H27" s="15">
        <f t="shared" si="0"/>
        <v>4.5999999999999996</v>
      </c>
      <c r="I27" s="15">
        <f t="shared" si="1"/>
        <v>17.600000000000001</v>
      </c>
      <c r="J27" s="15">
        <f t="shared" si="2"/>
        <v>17.600000000000001</v>
      </c>
    </row>
    <row r="28" spans="1:10" ht="15.75" thickBot="1" x14ac:dyDescent="0.3">
      <c r="A28" s="90"/>
      <c r="B28" s="60" t="s">
        <v>150</v>
      </c>
      <c r="C28" s="15">
        <v>1</v>
      </c>
      <c r="D28" s="15">
        <v>3.6</v>
      </c>
      <c r="E28" s="15">
        <v>0.6</v>
      </c>
      <c r="F28" s="15">
        <v>2</v>
      </c>
      <c r="G28" s="37">
        <v>0.6</v>
      </c>
      <c r="H28" s="15">
        <f t="shared" si="0"/>
        <v>4.5999999999999996</v>
      </c>
      <c r="I28" s="15">
        <f t="shared" si="1"/>
        <v>5.1999999999999993</v>
      </c>
      <c r="J28" s="15">
        <f t="shared" si="2"/>
        <v>5.1999999999999993</v>
      </c>
    </row>
    <row r="29" spans="1:10" ht="15.75" thickBot="1" x14ac:dyDescent="0.3">
      <c r="A29" s="90"/>
      <c r="B29" s="60" t="s">
        <v>160</v>
      </c>
      <c r="C29" s="15">
        <v>1</v>
      </c>
      <c r="D29" s="15">
        <v>3.6</v>
      </c>
      <c r="E29" s="15">
        <v>0.6</v>
      </c>
      <c r="F29" s="15">
        <v>2</v>
      </c>
      <c r="G29" s="37">
        <v>0.6</v>
      </c>
      <c r="H29" s="15">
        <f t="shared" si="0"/>
        <v>4.5999999999999996</v>
      </c>
      <c r="I29" s="15">
        <f t="shared" si="1"/>
        <v>5.1999999999999993</v>
      </c>
      <c r="J29" s="15">
        <f t="shared" si="2"/>
        <v>5.1999999999999993</v>
      </c>
    </row>
    <row r="30" spans="1:10" ht="15.75" thickBot="1" x14ac:dyDescent="0.3">
      <c r="A30" s="90"/>
      <c r="B30" s="60" t="s">
        <v>161</v>
      </c>
      <c r="C30" s="15">
        <v>1</v>
      </c>
      <c r="D30" s="15">
        <v>3.6</v>
      </c>
      <c r="E30" s="15">
        <v>0.6</v>
      </c>
      <c r="F30" s="15">
        <v>2</v>
      </c>
      <c r="G30" s="37">
        <v>0.6</v>
      </c>
      <c r="H30" s="15">
        <f t="shared" si="0"/>
        <v>4.5999999999999996</v>
      </c>
      <c r="I30" s="15">
        <f t="shared" si="1"/>
        <v>5.1999999999999993</v>
      </c>
      <c r="J30" s="15">
        <f t="shared" si="2"/>
        <v>5.1999999999999993</v>
      </c>
    </row>
    <row r="31" spans="1:10" ht="15.75" thickBot="1" x14ac:dyDescent="0.3">
      <c r="A31" s="90"/>
      <c r="B31" s="60" t="s">
        <v>162</v>
      </c>
      <c r="C31" s="15">
        <v>1</v>
      </c>
      <c r="D31" s="15">
        <v>3.6</v>
      </c>
      <c r="E31" s="15">
        <v>0.6</v>
      </c>
      <c r="F31" s="15">
        <v>2</v>
      </c>
      <c r="G31" s="37">
        <v>0.6</v>
      </c>
      <c r="H31" s="15">
        <f t="shared" si="0"/>
        <v>4.5999999999999996</v>
      </c>
      <c r="I31" s="15">
        <f t="shared" si="1"/>
        <v>5.1999999999999993</v>
      </c>
      <c r="J31" s="15">
        <f t="shared" si="2"/>
        <v>5.1999999999999993</v>
      </c>
    </row>
    <row r="32" spans="1:10" ht="15.75" thickBot="1" x14ac:dyDescent="0.3">
      <c r="A32" s="90"/>
      <c r="B32" s="60" t="s">
        <v>169</v>
      </c>
      <c r="C32" s="15">
        <v>1</v>
      </c>
      <c r="D32" s="15">
        <v>3.6</v>
      </c>
      <c r="E32" s="15">
        <v>0.6</v>
      </c>
      <c r="F32" s="15">
        <v>2</v>
      </c>
      <c r="G32" s="37">
        <v>3.2</v>
      </c>
      <c r="H32" s="15">
        <f t="shared" si="0"/>
        <v>4.5999999999999996</v>
      </c>
      <c r="I32" s="15">
        <f t="shared" si="1"/>
        <v>7.8</v>
      </c>
      <c r="J32" s="15">
        <f t="shared" si="2"/>
        <v>7.8</v>
      </c>
    </row>
    <row r="33" spans="1:10" ht="15.75" thickBot="1" x14ac:dyDescent="0.3">
      <c r="A33" s="90"/>
      <c r="B33" s="60" t="s">
        <v>170</v>
      </c>
      <c r="C33" s="15">
        <v>1</v>
      </c>
      <c r="D33" s="15">
        <v>3.6</v>
      </c>
      <c r="E33" s="15">
        <v>0.6</v>
      </c>
      <c r="F33" s="15">
        <v>2</v>
      </c>
      <c r="G33" s="37">
        <v>3</v>
      </c>
      <c r="H33" s="15">
        <f t="shared" si="0"/>
        <v>4.5999999999999996</v>
      </c>
      <c r="I33" s="15">
        <f t="shared" si="1"/>
        <v>7.6</v>
      </c>
      <c r="J33" s="15">
        <f t="shared" si="2"/>
        <v>7.6</v>
      </c>
    </row>
    <row r="34" spans="1:10" ht="15.75" thickBot="1" x14ac:dyDescent="0.3">
      <c r="A34" s="90"/>
      <c r="B34" s="60" t="s">
        <v>171</v>
      </c>
      <c r="C34" s="15">
        <v>1</v>
      </c>
      <c r="D34" s="15">
        <v>3.6</v>
      </c>
      <c r="E34" s="15">
        <v>0.6</v>
      </c>
      <c r="F34" s="15">
        <v>2</v>
      </c>
      <c r="G34" s="38">
        <v>10</v>
      </c>
      <c r="H34" s="19">
        <f t="shared" si="0"/>
        <v>4.5999999999999996</v>
      </c>
      <c r="I34" s="19">
        <f t="shared" si="1"/>
        <v>14.6</v>
      </c>
      <c r="J34" s="15">
        <f t="shared" si="2"/>
        <v>14.6</v>
      </c>
    </row>
    <row r="35" spans="1:10" ht="15.75" thickBot="1" x14ac:dyDescent="0.3">
      <c r="A35" s="90"/>
      <c r="B35" s="60" t="s">
        <v>172</v>
      </c>
      <c r="C35" s="15">
        <v>1</v>
      </c>
      <c r="D35" s="15">
        <v>3.6</v>
      </c>
      <c r="E35" s="15">
        <v>0.6</v>
      </c>
      <c r="F35" s="15">
        <v>2</v>
      </c>
      <c r="G35" s="38">
        <v>10</v>
      </c>
      <c r="H35" s="19">
        <f t="shared" ref="H35:H43" si="3">(D35-E35)+(D35-F35)</f>
        <v>4.5999999999999996</v>
      </c>
      <c r="I35" s="19">
        <f t="shared" ref="I35:I43" si="4">G35+H35</f>
        <v>14.6</v>
      </c>
      <c r="J35" s="15">
        <f t="shared" ref="J35:J43" si="5">I35/C35</f>
        <v>14.6</v>
      </c>
    </row>
    <row r="36" spans="1:10" ht="15.75" thickBot="1" x14ac:dyDescent="0.3">
      <c r="A36" s="90"/>
      <c r="B36" s="60" t="s">
        <v>173</v>
      </c>
      <c r="C36" s="15">
        <v>1</v>
      </c>
      <c r="D36" s="15">
        <v>3.6</v>
      </c>
      <c r="E36" s="15">
        <v>0.6</v>
      </c>
      <c r="F36" s="15">
        <v>2</v>
      </c>
      <c r="G36" s="38">
        <v>10</v>
      </c>
      <c r="H36" s="19">
        <f t="shared" si="3"/>
        <v>4.5999999999999996</v>
      </c>
      <c r="I36" s="19">
        <f t="shared" si="4"/>
        <v>14.6</v>
      </c>
      <c r="J36" s="15">
        <f t="shared" si="5"/>
        <v>14.6</v>
      </c>
    </row>
    <row r="37" spans="1:10" ht="15.75" thickBot="1" x14ac:dyDescent="0.3">
      <c r="A37" s="90"/>
      <c r="B37" s="60" t="s">
        <v>174</v>
      </c>
      <c r="C37" s="15">
        <v>1</v>
      </c>
      <c r="D37" s="15">
        <v>3.6</v>
      </c>
      <c r="E37" s="15">
        <v>0.6</v>
      </c>
      <c r="F37" s="15">
        <v>2</v>
      </c>
      <c r="G37" s="38">
        <v>10</v>
      </c>
      <c r="H37" s="19">
        <f t="shared" si="3"/>
        <v>4.5999999999999996</v>
      </c>
      <c r="I37" s="19">
        <f t="shared" si="4"/>
        <v>14.6</v>
      </c>
      <c r="J37" s="15">
        <f t="shared" si="5"/>
        <v>14.6</v>
      </c>
    </row>
    <row r="38" spans="1:10" ht="15.75" thickBot="1" x14ac:dyDescent="0.3">
      <c r="A38" s="90"/>
      <c r="B38" s="60" t="s">
        <v>175</v>
      </c>
      <c r="C38" s="15">
        <v>1</v>
      </c>
      <c r="D38" s="15">
        <v>3.6</v>
      </c>
      <c r="E38" s="15">
        <v>0.6</v>
      </c>
      <c r="F38" s="15">
        <v>2</v>
      </c>
      <c r="G38" s="38">
        <v>6.1</v>
      </c>
      <c r="H38" s="19">
        <f t="shared" si="3"/>
        <v>4.5999999999999996</v>
      </c>
      <c r="I38" s="19">
        <f t="shared" si="4"/>
        <v>10.7</v>
      </c>
      <c r="J38" s="15">
        <f t="shared" si="5"/>
        <v>10.7</v>
      </c>
    </row>
    <row r="39" spans="1:10" ht="15.75" thickBot="1" x14ac:dyDescent="0.3">
      <c r="A39" s="90"/>
      <c r="B39" s="60" t="s">
        <v>176</v>
      </c>
      <c r="C39" s="15">
        <v>1</v>
      </c>
      <c r="D39" s="15">
        <v>3.6</v>
      </c>
      <c r="E39" s="15">
        <v>0.6</v>
      </c>
      <c r="F39" s="15">
        <v>2</v>
      </c>
      <c r="G39" s="38">
        <v>6</v>
      </c>
      <c r="H39" s="19">
        <f t="shared" si="3"/>
        <v>4.5999999999999996</v>
      </c>
      <c r="I39" s="19">
        <f t="shared" si="4"/>
        <v>10.6</v>
      </c>
      <c r="J39" s="15">
        <f t="shared" si="5"/>
        <v>10.6</v>
      </c>
    </row>
    <row r="40" spans="1:10" ht="15.75" thickBot="1" x14ac:dyDescent="0.3">
      <c r="A40" s="90"/>
      <c r="B40" s="60" t="s">
        <v>177</v>
      </c>
      <c r="C40" s="15">
        <v>1</v>
      </c>
      <c r="D40" s="15">
        <v>3.6</v>
      </c>
      <c r="E40" s="15">
        <v>0.6</v>
      </c>
      <c r="F40" s="15">
        <v>2</v>
      </c>
      <c r="G40" s="38">
        <v>1</v>
      </c>
      <c r="H40" s="19">
        <f t="shared" si="3"/>
        <v>4.5999999999999996</v>
      </c>
      <c r="I40" s="19">
        <f t="shared" si="4"/>
        <v>5.6</v>
      </c>
      <c r="J40" s="15">
        <f t="shared" si="5"/>
        <v>5.6</v>
      </c>
    </row>
    <row r="41" spans="1:10" ht="15.75" thickBot="1" x14ac:dyDescent="0.3">
      <c r="A41" s="90"/>
      <c r="B41" s="60" t="s">
        <v>240</v>
      </c>
      <c r="C41" s="15">
        <v>1</v>
      </c>
      <c r="D41" s="15">
        <v>3.6</v>
      </c>
      <c r="E41" s="15">
        <v>0.6</v>
      </c>
      <c r="F41" s="15">
        <v>2</v>
      </c>
      <c r="G41" s="38">
        <v>1.3</v>
      </c>
      <c r="H41" s="19">
        <f t="shared" si="3"/>
        <v>4.5999999999999996</v>
      </c>
      <c r="I41" s="19">
        <f t="shared" si="4"/>
        <v>5.8999999999999995</v>
      </c>
      <c r="J41" s="15">
        <f t="shared" si="5"/>
        <v>5.8999999999999995</v>
      </c>
    </row>
    <row r="42" spans="1:10" ht="15.75" thickBot="1" x14ac:dyDescent="0.3">
      <c r="A42" s="90"/>
      <c r="B42" s="60" t="s">
        <v>241</v>
      </c>
      <c r="C42" s="15">
        <v>1</v>
      </c>
      <c r="D42" s="15">
        <v>3.6</v>
      </c>
      <c r="E42" s="15">
        <v>0.6</v>
      </c>
      <c r="F42" s="15">
        <v>2</v>
      </c>
      <c r="G42" s="38">
        <v>1.3</v>
      </c>
      <c r="H42" s="19">
        <f t="shared" si="3"/>
        <v>4.5999999999999996</v>
      </c>
      <c r="I42" s="19">
        <f t="shared" si="4"/>
        <v>5.8999999999999995</v>
      </c>
      <c r="J42" s="15">
        <f t="shared" si="5"/>
        <v>5.8999999999999995</v>
      </c>
    </row>
    <row r="43" spans="1:10" ht="15.75" thickBot="1" x14ac:dyDescent="0.3">
      <c r="A43" s="72"/>
      <c r="B43" s="60" t="s">
        <v>242</v>
      </c>
      <c r="C43" s="15">
        <v>1</v>
      </c>
      <c r="D43" s="15">
        <v>3.6</v>
      </c>
      <c r="E43" s="15">
        <v>0.6</v>
      </c>
      <c r="F43" s="15">
        <v>2</v>
      </c>
      <c r="G43" s="38">
        <v>1.5</v>
      </c>
      <c r="H43" s="19">
        <f t="shared" si="3"/>
        <v>4.5999999999999996</v>
      </c>
      <c r="I43" s="19">
        <f t="shared" si="4"/>
        <v>6.1</v>
      </c>
      <c r="J43" s="15">
        <f t="shared" si="5"/>
        <v>6.1</v>
      </c>
    </row>
    <row r="44" spans="1:10" ht="15.75" thickBot="1" x14ac:dyDescent="0.3">
      <c r="G44" s="86" t="s">
        <v>158</v>
      </c>
      <c r="H44" s="87"/>
      <c r="I44" s="88"/>
      <c r="J44" s="15">
        <f>SUM(J2:J34)</f>
        <v>409.30000000000007</v>
      </c>
    </row>
    <row r="45" spans="1:10" ht="15.75" thickBot="1" x14ac:dyDescent="0.3">
      <c r="F45" s="70" t="s">
        <v>243</v>
      </c>
      <c r="G45" s="70"/>
      <c r="H45" s="70"/>
      <c r="I45" s="70"/>
      <c r="J45" s="25">
        <f>J44/42</f>
        <v>9.745238095238097</v>
      </c>
    </row>
    <row r="46" spans="1:10" x14ac:dyDescent="0.25">
      <c r="F46" s="17"/>
      <c r="G46" s="17"/>
      <c r="H46" s="17"/>
      <c r="I46" s="17"/>
      <c r="J46" s="16"/>
    </row>
  </sheetData>
  <mergeCells count="3">
    <mergeCell ref="G44:I44"/>
    <mergeCell ref="F45:I45"/>
    <mergeCell ref="A2:A4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57022-3DA9-4755-8AEE-AA828C6F7972}">
  <dimension ref="A1:L10"/>
  <sheetViews>
    <sheetView workbookViewId="0">
      <selection activeCell="H11" sqref="H11"/>
    </sheetView>
  </sheetViews>
  <sheetFormatPr defaultRowHeight="15" x14ac:dyDescent="0.25"/>
  <cols>
    <col min="1" max="1" width="9.85546875" bestFit="1" customWidth="1"/>
    <col min="2" max="2" width="4.7109375" bestFit="1" customWidth="1"/>
    <col min="3" max="3" width="13.28515625" bestFit="1" customWidth="1"/>
    <col min="4" max="4" width="13.28515625" customWidth="1"/>
    <col min="5" max="5" width="9.85546875" bestFit="1" customWidth="1"/>
    <col min="6" max="6" width="17.5703125" bestFit="1" customWidth="1"/>
    <col min="7" max="7" width="11.140625" bestFit="1" customWidth="1"/>
    <col min="8" max="8" width="4.7109375" bestFit="1" customWidth="1"/>
    <col min="9" max="9" width="4.7109375" customWidth="1"/>
    <col min="10" max="10" width="11.140625" bestFit="1" customWidth="1"/>
    <col min="11" max="11" width="11.85546875" bestFit="1" customWidth="1"/>
    <col min="12" max="12" width="14.5703125" bestFit="1" customWidth="1"/>
  </cols>
  <sheetData>
    <row r="1" spans="1:12" ht="15.75" thickBot="1" x14ac:dyDescent="0.3">
      <c r="A1" s="9" t="s">
        <v>109</v>
      </c>
      <c r="B1" s="9" t="s">
        <v>111</v>
      </c>
      <c r="C1" s="9" t="s">
        <v>184</v>
      </c>
      <c r="D1" s="9" t="s">
        <v>185</v>
      </c>
      <c r="E1" s="18" t="s">
        <v>123</v>
      </c>
      <c r="F1" s="18" t="s">
        <v>124</v>
      </c>
      <c r="G1" s="15" t="s">
        <v>126</v>
      </c>
      <c r="H1" s="15" t="s">
        <v>127</v>
      </c>
      <c r="I1" s="15" t="s">
        <v>128</v>
      </c>
      <c r="J1" s="15" t="s">
        <v>129</v>
      </c>
      <c r="K1" s="15" t="s">
        <v>130</v>
      </c>
      <c r="L1" s="15" t="s">
        <v>131</v>
      </c>
    </row>
    <row r="2" spans="1:12" ht="15.75" thickBot="1" x14ac:dyDescent="0.3">
      <c r="A2" s="93" t="s">
        <v>222</v>
      </c>
      <c r="B2" s="53" t="s">
        <v>112</v>
      </c>
      <c r="C2" s="15">
        <v>1</v>
      </c>
      <c r="D2" s="15">
        <v>3.1</v>
      </c>
      <c r="E2" s="15">
        <v>3.6</v>
      </c>
      <c r="F2" s="15">
        <v>3.1</v>
      </c>
      <c r="G2" s="15">
        <v>2</v>
      </c>
      <c r="H2" s="25">
        <v>10</v>
      </c>
      <c r="I2" s="15">
        <f>(E2-G2)+(E2-D2)</f>
        <v>2.1</v>
      </c>
      <c r="J2" s="15">
        <f>2*C2*(E2-F2)</f>
        <v>1</v>
      </c>
      <c r="K2" s="15">
        <f>H2+J2+I2</f>
        <v>13.1</v>
      </c>
      <c r="L2" s="15">
        <f>K2/C2</f>
        <v>13.1</v>
      </c>
    </row>
    <row r="3" spans="1:12" ht="15.75" thickBot="1" x14ac:dyDescent="0.3">
      <c r="A3" s="94"/>
      <c r="B3" s="53" t="s">
        <v>113</v>
      </c>
      <c r="C3" s="15">
        <v>1</v>
      </c>
      <c r="D3" s="15">
        <v>3.1</v>
      </c>
      <c r="E3" s="15">
        <v>3.6</v>
      </c>
      <c r="F3" s="15">
        <v>3.1</v>
      </c>
      <c r="G3" s="15">
        <v>2</v>
      </c>
      <c r="H3" s="25">
        <v>8</v>
      </c>
      <c r="I3" s="15">
        <f>(E3-G3)+(E3-D3)</f>
        <v>2.1</v>
      </c>
      <c r="J3" s="15">
        <f>2*C3*(E3-F3)</f>
        <v>1</v>
      </c>
      <c r="K3" s="15">
        <f>H3+J3+I3</f>
        <v>11.1</v>
      </c>
      <c r="L3" s="15">
        <f>K3/C3</f>
        <v>11.1</v>
      </c>
    </row>
    <row r="4" spans="1:12" ht="15.75" thickBot="1" x14ac:dyDescent="0.3">
      <c r="A4" s="94"/>
      <c r="B4" s="53" t="s">
        <v>114</v>
      </c>
      <c r="C4" s="15">
        <v>1</v>
      </c>
      <c r="D4" s="15">
        <v>3.1</v>
      </c>
      <c r="E4" s="15">
        <v>3.6</v>
      </c>
      <c r="F4" s="15">
        <v>3.1</v>
      </c>
      <c r="G4" s="15">
        <v>2</v>
      </c>
      <c r="H4" s="25">
        <v>13.4</v>
      </c>
      <c r="I4" s="15">
        <f t="shared" ref="I4:I9" si="0">(E4-G4)+(E4-D4)</f>
        <v>2.1</v>
      </c>
      <c r="J4" s="15">
        <f t="shared" ref="J4:J9" si="1">2*C4*(E4-F4)</f>
        <v>1</v>
      </c>
      <c r="K4" s="15">
        <f t="shared" ref="K4:K9" si="2">H4+J4+I4</f>
        <v>16.5</v>
      </c>
      <c r="L4" s="15">
        <f t="shared" ref="L4:L9" si="3">K4/C4</f>
        <v>16.5</v>
      </c>
    </row>
    <row r="5" spans="1:12" ht="15.75" thickBot="1" x14ac:dyDescent="0.3">
      <c r="A5" s="94"/>
      <c r="B5" s="53" t="s">
        <v>115</v>
      </c>
      <c r="C5" s="15">
        <v>1</v>
      </c>
      <c r="D5" s="15">
        <v>3.1</v>
      </c>
      <c r="E5" s="15">
        <v>3.6</v>
      </c>
      <c r="F5" s="15">
        <v>3.1</v>
      </c>
      <c r="G5" s="15">
        <v>2</v>
      </c>
      <c r="H5" s="25">
        <v>0.5</v>
      </c>
      <c r="I5" s="15">
        <f t="shared" si="0"/>
        <v>2.1</v>
      </c>
      <c r="J5" s="15">
        <f t="shared" si="1"/>
        <v>1</v>
      </c>
      <c r="K5" s="15">
        <f t="shared" si="2"/>
        <v>3.6</v>
      </c>
      <c r="L5" s="15">
        <f t="shared" si="3"/>
        <v>3.6</v>
      </c>
    </row>
    <row r="6" spans="1:12" ht="15.75" thickBot="1" x14ac:dyDescent="0.3">
      <c r="A6" s="94"/>
      <c r="B6" s="53" t="s">
        <v>116</v>
      </c>
      <c r="C6" s="15">
        <v>1</v>
      </c>
      <c r="D6" s="15">
        <v>3.1</v>
      </c>
      <c r="E6" s="15">
        <v>3.6</v>
      </c>
      <c r="F6" s="15">
        <v>3.1</v>
      </c>
      <c r="G6" s="15">
        <v>2</v>
      </c>
      <c r="H6" s="25">
        <v>0.5</v>
      </c>
      <c r="I6" s="15">
        <f t="shared" si="0"/>
        <v>2.1</v>
      </c>
      <c r="J6" s="15">
        <f t="shared" si="1"/>
        <v>1</v>
      </c>
      <c r="K6" s="15">
        <f t="shared" si="2"/>
        <v>3.6</v>
      </c>
      <c r="L6" s="15">
        <f t="shared" si="3"/>
        <v>3.6</v>
      </c>
    </row>
    <row r="7" spans="1:12" ht="15.75" thickBot="1" x14ac:dyDescent="0.3">
      <c r="A7" s="94"/>
      <c r="B7" s="53" t="s">
        <v>117</v>
      </c>
      <c r="C7" s="15">
        <v>1</v>
      </c>
      <c r="D7" s="15">
        <v>3.1</v>
      </c>
      <c r="E7" s="15">
        <v>3.6</v>
      </c>
      <c r="F7" s="15">
        <v>3.1</v>
      </c>
      <c r="G7" s="15">
        <v>2</v>
      </c>
      <c r="H7" s="25">
        <v>0.5</v>
      </c>
      <c r="I7" s="15">
        <f t="shared" si="0"/>
        <v>2.1</v>
      </c>
      <c r="J7" s="15">
        <f t="shared" si="1"/>
        <v>1</v>
      </c>
      <c r="K7" s="15">
        <f t="shared" si="2"/>
        <v>3.6</v>
      </c>
      <c r="L7" s="15">
        <f t="shared" si="3"/>
        <v>3.6</v>
      </c>
    </row>
    <row r="8" spans="1:12" ht="15.75" thickBot="1" x14ac:dyDescent="0.3">
      <c r="A8" s="94"/>
      <c r="B8" s="53" t="s">
        <v>118</v>
      </c>
      <c r="C8" s="15">
        <v>1</v>
      </c>
      <c r="D8" s="15">
        <v>3.1</v>
      </c>
      <c r="E8" s="15">
        <v>3.6</v>
      </c>
      <c r="F8" s="15">
        <v>3.1</v>
      </c>
      <c r="G8" s="15">
        <v>2</v>
      </c>
      <c r="H8" s="25">
        <v>5.5</v>
      </c>
      <c r="I8" s="15">
        <f t="shared" si="0"/>
        <v>2.1</v>
      </c>
      <c r="J8" s="15">
        <f t="shared" si="1"/>
        <v>1</v>
      </c>
      <c r="K8" s="15">
        <f t="shared" si="2"/>
        <v>8.6</v>
      </c>
      <c r="L8" s="15">
        <f t="shared" si="3"/>
        <v>8.6</v>
      </c>
    </row>
    <row r="9" spans="1:12" ht="15.75" thickBot="1" x14ac:dyDescent="0.3">
      <c r="A9" s="95"/>
      <c r="B9" s="53" t="s">
        <v>119</v>
      </c>
      <c r="C9" s="15">
        <v>1</v>
      </c>
      <c r="D9" s="15">
        <v>3.1</v>
      </c>
      <c r="E9" s="15">
        <v>3.6</v>
      </c>
      <c r="F9" s="15">
        <v>3.1</v>
      </c>
      <c r="G9" s="15">
        <v>2</v>
      </c>
      <c r="H9" s="25">
        <v>1</v>
      </c>
      <c r="I9" s="15">
        <f t="shared" si="0"/>
        <v>2.1</v>
      </c>
      <c r="J9" s="15">
        <f t="shared" si="1"/>
        <v>1</v>
      </c>
      <c r="K9" s="15">
        <f t="shared" si="2"/>
        <v>4.0999999999999996</v>
      </c>
      <c r="L9" s="15">
        <f t="shared" si="3"/>
        <v>4.0999999999999996</v>
      </c>
    </row>
    <row r="10" spans="1:12" ht="15.75" thickBot="1" x14ac:dyDescent="0.3">
      <c r="J10" s="91" t="s">
        <v>186</v>
      </c>
      <c r="K10" s="92"/>
      <c r="L10" s="15">
        <f>SUM(L2:L9)/8</f>
        <v>8.0250000000000004</v>
      </c>
    </row>
  </sheetData>
  <mergeCells count="2">
    <mergeCell ref="J10:K10"/>
    <mergeCell ref="A2: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89ADD-9BB4-4B48-B278-7CF0E6C47BD8}">
  <dimension ref="A1:P20"/>
  <sheetViews>
    <sheetView tabSelected="1" workbookViewId="0">
      <selection activeCell="C5" sqref="C5"/>
    </sheetView>
  </sheetViews>
  <sheetFormatPr defaultRowHeight="15" x14ac:dyDescent="0.25"/>
  <cols>
    <col min="3" max="3" width="61.7109375" bestFit="1" customWidth="1"/>
    <col min="6" max="6" width="17.28515625" bestFit="1" customWidth="1"/>
    <col min="9" max="9" width="13.42578125" bestFit="1" customWidth="1"/>
    <col min="10" max="10" width="14.7109375" bestFit="1" customWidth="1"/>
    <col min="12" max="12" width="10.28515625" bestFit="1" customWidth="1"/>
    <col min="13" max="13" width="11.85546875" bestFit="1" customWidth="1"/>
    <col min="14" max="14" width="11" bestFit="1" customWidth="1"/>
    <col min="15" max="15" width="12" bestFit="1" customWidth="1"/>
    <col min="16" max="16" width="14.28515625" bestFit="1" customWidth="1"/>
  </cols>
  <sheetData>
    <row r="1" spans="1:16" ht="15.75" thickBot="1" x14ac:dyDescent="0.3"/>
    <row r="2" spans="1:16" ht="22.5" customHeight="1" thickBot="1" x14ac:dyDescent="0.3">
      <c r="D2" s="96" t="s">
        <v>190</v>
      </c>
      <c r="E2" s="97"/>
      <c r="F2" s="97"/>
      <c r="G2" s="97"/>
      <c r="H2" s="97"/>
      <c r="I2" s="97"/>
      <c r="J2" s="97"/>
      <c r="K2" s="97"/>
      <c r="L2" s="97"/>
      <c r="M2" s="97"/>
      <c r="N2" s="97"/>
      <c r="O2" s="97"/>
      <c r="P2" s="98"/>
    </row>
    <row r="3" spans="1:16" ht="72.75" customHeight="1" thickBot="1" x14ac:dyDescent="0.3">
      <c r="D3" s="35" t="s">
        <v>191</v>
      </c>
      <c r="E3" s="35" t="s">
        <v>192</v>
      </c>
      <c r="F3" s="35" t="s">
        <v>193</v>
      </c>
      <c r="G3" s="35" t="s">
        <v>194</v>
      </c>
      <c r="H3" s="35" t="s">
        <v>195</v>
      </c>
      <c r="I3" s="35" t="s">
        <v>196</v>
      </c>
      <c r="J3" s="9" t="s">
        <v>101</v>
      </c>
      <c r="K3" s="9" t="s">
        <v>102</v>
      </c>
      <c r="L3" s="9" t="s">
        <v>103</v>
      </c>
      <c r="M3" s="9" t="s">
        <v>104</v>
      </c>
      <c r="N3" s="9" t="s">
        <v>105</v>
      </c>
      <c r="O3" s="9" t="s">
        <v>106</v>
      </c>
      <c r="P3" s="9" t="s">
        <v>108</v>
      </c>
    </row>
    <row r="4" spans="1:16" ht="16.5" thickBot="1" x14ac:dyDescent="0.3">
      <c r="A4" s="1" t="s">
        <v>12</v>
      </c>
      <c r="B4" s="2">
        <v>1</v>
      </c>
      <c r="C4" s="2" t="s">
        <v>281</v>
      </c>
      <c r="D4" s="9">
        <v>279.3</v>
      </c>
      <c r="E4" s="9">
        <v>23.6</v>
      </c>
      <c r="F4" s="9">
        <f>E4+D4</f>
        <v>302.90000000000003</v>
      </c>
      <c r="G4" s="39">
        <f>0.03*F4</f>
        <v>9.0870000000000015</v>
      </c>
      <c r="H4" s="39">
        <f>0.01*F4</f>
        <v>3.0290000000000004</v>
      </c>
      <c r="I4" s="15">
        <f>H4+G4+F4</f>
        <v>315.01600000000002</v>
      </c>
      <c r="J4" s="15">
        <f>0.05*I4</f>
        <v>15.750800000000002</v>
      </c>
      <c r="K4" s="39">
        <v>25</v>
      </c>
      <c r="L4" s="39">
        <f>K4+J4+I4</f>
        <v>355.76679999999999</v>
      </c>
      <c r="M4" s="39">
        <f>0.15*L4</f>
        <v>53.365019999999994</v>
      </c>
      <c r="N4" s="39">
        <f>M4+L4</f>
        <v>409.13182</v>
      </c>
      <c r="O4" s="39">
        <f>0.3*N4</f>
        <v>122.73954599999999</v>
      </c>
      <c r="P4" s="39">
        <f>N4+O4</f>
        <v>531.87136599999997</v>
      </c>
    </row>
    <row r="5" spans="1:16" ht="16.5" thickBot="1" x14ac:dyDescent="0.3">
      <c r="A5" s="1" t="s">
        <v>14</v>
      </c>
      <c r="B5" s="2">
        <v>1</v>
      </c>
      <c r="C5" s="2" t="s">
        <v>283</v>
      </c>
      <c r="D5" s="9">
        <v>102.6</v>
      </c>
      <c r="E5" s="9">
        <v>15</v>
      </c>
      <c r="F5" s="9">
        <f>E5+D5</f>
        <v>117.6</v>
      </c>
      <c r="G5" s="39">
        <f>0.03*F5</f>
        <v>3.5279999999999996</v>
      </c>
      <c r="H5" s="39">
        <f>0.01*F5</f>
        <v>1.1759999999999999</v>
      </c>
      <c r="I5" s="15">
        <f>H5+G5+F5</f>
        <v>122.30399999999999</v>
      </c>
      <c r="J5" s="15">
        <f>0.05*I5</f>
        <v>6.1151999999999997</v>
      </c>
      <c r="K5" s="39">
        <v>20</v>
      </c>
      <c r="L5" s="39">
        <f>K5+J5+I5</f>
        <v>148.41919999999999</v>
      </c>
      <c r="M5" s="39">
        <f>0.15*L5</f>
        <v>22.262879999999999</v>
      </c>
      <c r="N5" s="39">
        <f>M5+L5</f>
        <v>170.68207999999998</v>
      </c>
      <c r="O5" s="39">
        <f>0.3*N5</f>
        <v>51.204623999999995</v>
      </c>
      <c r="P5" s="39">
        <f>N5+O5</f>
        <v>221.88670399999998</v>
      </c>
    </row>
    <row r="6" spans="1:16" ht="16.5" thickBot="1" x14ac:dyDescent="0.3">
      <c r="A6" s="1" t="s">
        <v>18</v>
      </c>
      <c r="B6" s="2">
        <v>1</v>
      </c>
      <c r="C6" s="2" t="s">
        <v>282</v>
      </c>
      <c r="D6" s="9">
        <v>279.3</v>
      </c>
      <c r="E6" s="9">
        <v>23.6</v>
      </c>
      <c r="F6" s="9">
        <f>E6+D6</f>
        <v>302.90000000000003</v>
      </c>
      <c r="G6" s="39">
        <f>0.03*F6</f>
        <v>9.0870000000000015</v>
      </c>
      <c r="H6" s="39">
        <f>0.01*F6</f>
        <v>3.0290000000000004</v>
      </c>
      <c r="I6" s="15">
        <f>H6+G6+F6</f>
        <v>315.01600000000002</v>
      </c>
      <c r="J6" s="15">
        <f>0.05*I6</f>
        <v>15.750800000000002</v>
      </c>
      <c r="K6" s="39">
        <v>25</v>
      </c>
      <c r="L6" s="39">
        <f>K6+J6+I6</f>
        <v>355.76679999999999</v>
      </c>
      <c r="M6" s="39">
        <f>0.15*L6</f>
        <v>53.365019999999994</v>
      </c>
      <c r="N6" s="39">
        <f>M6+L6</f>
        <v>409.13182</v>
      </c>
      <c r="O6" s="39">
        <f>0.3*N6</f>
        <v>122.73954599999999</v>
      </c>
      <c r="P6" s="39">
        <f>N6+O6</f>
        <v>531.87136599999997</v>
      </c>
    </row>
    <row r="7" spans="1:16" ht="15.75" thickBot="1" x14ac:dyDescent="0.3"/>
    <row r="8" spans="1:16" ht="30.75" thickBot="1" x14ac:dyDescent="0.3">
      <c r="E8" s="9" t="s">
        <v>191</v>
      </c>
      <c r="F8" s="40" t="s">
        <v>197</v>
      </c>
    </row>
    <row r="9" spans="1:16" ht="15.75" thickBot="1" x14ac:dyDescent="0.3">
      <c r="E9" s="10" t="s">
        <v>198</v>
      </c>
      <c r="F9" s="99">
        <v>0.64236111111111105</v>
      </c>
    </row>
    <row r="10" spans="1:16" ht="15.75" thickBot="1" x14ac:dyDescent="0.3">
      <c r="E10" s="10" t="s">
        <v>199</v>
      </c>
      <c r="F10" s="70"/>
    </row>
    <row r="11" spans="1:16" ht="15.75" thickBot="1" x14ac:dyDescent="0.3">
      <c r="E11" s="10" t="s">
        <v>200</v>
      </c>
      <c r="F11" s="15">
        <v>25</v>
      </c>
    </row>
    <row r="12" spans="1:16" ht="15.75" thickBot="1" x14ac:dyDescent="0.3">
      <c r="E12" s="10" t="s">
        <v>201</v>
      </c>
      <c r="F12" s="39">
        <v>30</v>
      </c>
    </row>
    <row r="13" spans="1:16" ht="15.75" thickBot="1" x14ac:dyDescent="0.3">
      <c r="E13" s="10" t="s">
        <v>202</v>
      </c>
      <c r="F13" s="39">
        <v>40</v>
      </c>
    </row>
    <row r="14" spans="1:16" ht="15.75" thickBot="1" x14ac:dyDescent="0.3">
      <c r="E14" s="10" t="s">
        <v>203</v>
      </c>
      <c r="F14" s="39">
        <v>50</v>
      </c>
    </row>
    <row r="15" spans="1:16" ht="15.75" thickBot="1" x14ac:dyDescent="0.3">
      <c r="E15" s="10" t="s">
        <v>204</v>
      </c>
      <c r="F15" s="39">
        <v>60</v>
      </c>
    </row>
    <row r="16" spans="1:16" ht="15.75" thickBot="1" x14ac:dyDescent="0.3">
      <c r="E16" s="10" t="s">
        <v>205</v>
      </c>
      <c r="F16" s="39">
        <v>75</v>
      </c>
    </row>
    <row r="17" spans="5:6" ht="15.75" thickBot="1" x14ac:dyDescent="0.3">
      <c r="E17" s="10" t="s">
        <v>206</v>
      </c>
      <c r="F17" s="39">
        <v>90</v>
      </c>
    </row>
    <row r="18" spans="5:6" ht="15.75" thickBot="1" x14ac:dyDescent="0.3">
      <c r="E18" s="10" t="s">
        <v>207</v>
      </c>
      <c r="F18" s="39">
        <v>105</v>
      </c>
    </row>
    <row r="19" spans="5:6" ht="15.75" thickBot="1" x14ac:dyDescent="0.3">
      <c r="E19" s="10" t="s">
        <v>208</v>
      </c>
      <c r="F19" s="39">
        <v>120</v>
      </c>
    </row>
    <row r="20" spans="5:6" ht="15.75" thickBot="1" x14ac:dyDescent="0.3">
      <c r="E20" s="10" t="s">
        <v>209</v>
      </c>
      <c r="F20" s="39" t="s">
        <v>210</v>
      </c>
    </row>
  </sheetData>
  <mergeCells count="2">
    <mergeCell ref="D2:P2"/>
    <mergeCell ref="F9:F10"/>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F084-8898-4A30-A86E-BF8E4BADFFCC}">
  <dimension ref="A1:S8"/>
  <sheetViews>
    <sheetView workbookViewId="0">
      <selection activeCell="D3" sqref="D3"/>
    </sheetView>
  </sheetViews>
  <sheetFormatPr defaultRowHeight="15" x14ac:dyDescent="0.25"/>
  <cols>
    <col min="1" max="1" width="42.5703125" bestFit="1" customWidth="1"/>
    <col min="2" max="2" width="29.85546875" customWidth="1"/>
    <col min="3" max="3" width="15.85546875" bestFit="1" customWidth="1"/>
    <col min="6" max="6" width="13.42578125" bestFit="1" customWidth="1"/>
    <col min="7" max="7" width="14.85546875" bestFit="1" customWidth="1"/>
    <col min="9" max="9" width="10.5703125" bestFit="1" customWidth="1"/>
    <col min="10" max="10" width="12.140625" bestFit="1" customWidth="1"/>
    <col min="12" max="12" width="9.7109375" bestFit="1" customWidth="1"/>
    <col min="13" max="13" width="14.85546875" bestFit="1" customWidth="1"/>
    <col min="17" max="17" width="10.28515625" bestFit="1" customWidth="1"/>
    <col min="18" max="18" width="10.5703125" bestFit="1" customWidth="1"/>
    <col min="19" max="19" width="11" bestFit="1" customWidth="1"/>
  </cols>
  <sheetData>
    <row r="1" spans="1:19" ht="15.75" thickBot="1" x14ac:dyDescent="0.3">
      <c r="A1" s="100" t="s">
        <v>268</v>
      </c>
      <c r="B1" s="103" t="s">
        <v>130</v>
      </c>
      <c r="C1" s="81" t="s">
        <v>213</v>
      </c>
      <c r="D1" s="102"/>
      <c r="E1" s="102"/>
      <c r="F1" s="82"/>
    </row>
    <row r="2" spans="1:19" ht="15.75" thickBot="1" x14ac:dyDescent="0.3">
      <c r="A2" s="101"/>
      <c r="B2" s="104"/>
      <c r="C2" s="9" t="s">
        <v>214</v>
      </c>
      <c r="D2" s="9" t="s">
        <v>215</v>
      </c>
      <c r="E2" s="9" t="s">
        <v>216</v>
      </c>
      <c r="F2" s="9" t="s">
        <v>157</v>
      </c>
      <c r="G2" s="9" t="s">
        <v>217</v>
      </c>
      <c r="H2" s="9" t="s">
        <v>102</v>
      </c>
      <c r="I2" s="9" t="s">
        <v>218</v>
      </c>
      <c r="J2" s="9" t="s">
        <v>219</v>
      </c>
      <c r="K2" s="9" t="s">
        <v>220</v>
      </c>
      <c r="L2" s="9" t="s">
        <v>106</v>
      </c>
      <c r="M2" s="9" t="s">
        <v>221</v>
      </c>
      <c r="O2" s="14"/>
      <c r="P2" s="14"/>
      <c r="Q2" s="14"/>
      <c r="R2" s="14"/>
      <c r="S2" s="14"/>
    </row>
    <row r="3" spans="1:19" ht="16.5" thickBot="1" x14ac:dyDescent="0.3">
      <c r="A3" s="2" t="s">
        <v>273</v>
      </c>
      <c r="B3" s="2">
        <v>36</v>
      </c>
      <c r="C3" s="15">
        <v>100</v>
      </c>
      <c r="D3" s="15">
        <f>0.4*C3</f>
        <v>40</v>
      </c>
      <c r="E3" s="15">
        <v>30</v>
      </c>
      <c r="F3" s="15">
        <f>E3+D3+C3</f>
        <v>170</v>
      </c>
      <c r="G3" s="15">
        <f>0.1*F3</f>
        <v>17</v>
      </c>
      <c r="H3" s="15">
        <v>20</v>
      </c>
      <c r="I3" s="15">
        <f>H3+G3+F3</f>
        <v>207</v>
      </c>
      <c r="J3" s="15">
        <f>0.15*I3</f>
        <v>31.049999999999997</v>
      </c>
      <c r="K3" s="15">
        <f>J3+I3</f>
        <v>238.05</v>
      </c>
      <c r="L3" s="15">
        <f>0.3*K3</f>
        <v>71.415000000000006</v>
      </c>
      <c r="M3" s="15">
        <f>K3+L3</f>
        <v>309.46500000000003</v>
      </c>
      <c r="O3" s="14"/>
    </row>
    <row r="6" spans="1:19" x14ac:dyDescent="0.25">
      <c r="A6" s="41"/>
      <c r="B6" s="14"/>
      <c r="C6" s="41"/>
    </row>
    <row r="7" spans="1:19" ht="15.75" customHeight="1" x14ac:dyDescent="0.25">
      <c r="A7" s="41"/>
      <c r="B7" s="14"/>
      <c r="C7" s="41"/>
      <c r="G7" s="54"/>
      <c r="H7" s="54"/>
      <c r="I7" s="55"/>
      <c r="J7" s="56"/>
    </row>
    <row r="8" spans="1:19" x14ac:dyDescent="0.25">
      <c r="G8" s="16"/>
      <c r="H8" s="16"/>
      <c r="I8" s="16"/>
      <c r="J8" s="16"/>
    </row>
  </sheetData>
  <mergeCells count="3">
    <mergeCell ref="A1:A2"/>
    <mergeCell ref="C1:F1"/>
    <mergeCell ref="B1:B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C23E-E9C5-41A3-83F0-B1D5AA4E93DD}">
  <sheetPr>
    <pageSetUpPr fitToPage="1"/>
  </sheetPr>
  <dimension ref="A1:S13"/>
  <sheetViews>
    <sheetView topLeftCell="B1" workbookViewId="0">
      <selection activeCell="G9" sqref="G9:G10"/>
    </sheetView>
  </sheetViews>
  <sheetFormatPr defaultRowHeight="15" x14ac:dyDescent="0.25"/>
  <cols>
    <col min="1" max="1" width="13.140625" bestFit="1" customWidth="1"/>
    <col min="2" max="2" width="54.42578125" customWidth="1"/>
    <col min="3" max="3" width="16.42578125" bestFit="1" customWidth="1"/>
    <col min="4" max="4" width="16.42578125" customWidth="1"/>
    <col min="7" max="7" width="10.28515625" bestFit="1" customWidth="1"/>
    <col min="8" max="8" width="17.5703125" bestFit="1" customWidth="1"/>
    <col min="9" max="9" width="17.5703125" customWidth="1"/>
    <col min="10" max="10" width="9.7109375" bestFit="1" customWidth="1"/>
    <col min="11" max="11" width="10.28515625" bestFit="1" customWidth="1"/>
    <col min="12" max="12" width="13.5703125" bestFit="1" customWidth="1"/>
    <col min="13" max="13" width="14.7109375" bestFit="1" customWidth="1"/>
    <col min="14" max="14" width="6.42578125" bestFit="1" customWidth="1"/>
    <col min="15" max="15" width="10.28515625" bestFit="1" customWidth="1"/>
    <col min="16" max="16" width="11.85546875" bestFit="1" customWidth="1"/>
    <col min="17" max="17" width="8" bestFit="1" customWidth="1"/>
    <col min="18" max="18" width="9.7109375" bestFit="1" customWidth="1"/>
    <col min="19" max="19" width="14.28515625" bestFit="1" customWidth="1"/>
  </cols>
  <sheetData>
    <row r="1" spans="1:19" ht="45.75" thickBot="1" x14ac:dyDescent="0.3">
      <c r="A1" s="23" t="s">
        <v>110</v>
      </c>
      <c r="B1" s="9" t="s">
        <v>3</v>
      </c>
      <c r="C1" s="29" t="s">
        <v>158</v>
      </c>
      <c r="D1" s="32" t="s">
        <v>179</v>
      </c>
      <c r="E1" s="13" t="s">
        <v>155</v>
      </c>
      <c r="F1" s="13" t="s">
        <v>153</v>
      </c>
      <c r="G1" s="9" t="s">
        <v>154</v>
      </c>
      <c r="H1" s="29" t="s">
        <v>156</v>
      </c>
      <c r="I1" s="33" t="s">
        <v>295</v>
      </c>
      <c r="J1" s="9" t="s">
        <v>152</v>
      </c>
      <c r="K1" s="9" t="s">
        <v>2</v>
      </c>
      <c r="L1" s="9" t="s">
        <v>157</v>
      </c>
      <c r="M1" s="9" t="s">
        <v>101</v>
      </c>
      <c r="N1" s="9" t="s">
        <v>102</v>
      </c>
      <c r="O1" s="9" t="s">
        <v>103</v>
      </c>
      <c r="P1" s="9" t="s">
        <v>104</v>
      </c>
      <c r="Q1" s="9" t="s">
        <v>105</v>
      </c>
      <c r="R1" s="9" t="s">
        <v>106</v>
      </c>
      <c r="S1" s="31" t="s">
        <v>108</v>
      </c>
    </row>
    <row r="2" spans="1:19" ht="15.75" thickBot="1" x14ac:dyDescent="0.3">
      <c r="A2" s="9" t="s">
        <v>275</v>
      </c>
      <c r="B2" s="15" t="s">
        <v>151</v>
      </c>
      <c r="C2" s="15">
        <f>' Lighting AVG Length'!N22</f>
        <v>7.0453461538461521</v>
      </c>
      <c r="D2" s="7">
        <v>25</v>
      </c>
      <c r="E2" s="15">
        <v>5.74</v>
      </c>
      <c r="F2" s="15">
        <f t="shared" ref="F2:F13" si="0">C2*E2</f>
        <v>40.440286923076911</v>
      </c>
      <c r="G2" s="15">
        <f t="shared" ref="G2:G8" si="1">0.15*F2</f>
        <v>6.0660430384615367</v>
      </c>
      <c r="H2" s="15">
        <f>1.2*C2</f>
        <v>8.4544153846153822</v>
      </c>
      <c r="I2" s="15" t="s">
        <v>297</v>
      </c>
      <c r="J2" s="15">
        <v>21.4</v>
      </c>
      <c r="K2" s="15">
        <f t="shared" ref="K2:K13" si="2">J2*H2</f>
        <v>180.92448923076915</v>
      </c>
      <c r="L2" s="15">
        <f t="shared" ref="L2:L13" si="3">K2+G2+F2</f>
        <v>227.43081919230761</v>
      </c>
      <c r="M2" s="15">
        <f t="shared" ref="M2:M13" si="4">0.05*L2</f>
        <v>11.37154095961538</v>
      </c>
      <c r="N2" s="15">
        <f t="shared" ref="N2:N7" si="5">C2*16</f>
        <v>112.72553846153843</v>
      </c>
      <c r="O2" s="15">
        <f t="shared" ref="O2:O13" si="6">L2+M2+N2</f>
        <v>351.52789861346139</v>
      </c>
      <c r="P2" s="15">
        <f t="shared" ref="P2:P13" si="7">0.15*O2</f>
        <v>52.729184792019204</v>
      </c>
      <c r="Q2" s="15">
        <f t="shared" ref="Q2:Q13" si="8">O2+P2</f>
        <v>404.25708340548061</v>
      </c>
      <c r="R2" s="15">
        <f t="shared" ref="R2:R13" si="9">0.3*Q2</f>
        <v>121.27712502164418</v>
      </c>
      <c r="S2" s="15">
        <f t="shared" ref="S2:S13" si="10">R2+Q2</f>
        <v>525.53420842712478</v>
      </c>
    </row>
    <row r="3" spans="1:19" ht="15.75" thickBot="1" x14ac:dyDescent="0.3">
      <c r="A3" s="9" t="s">
        <v>238</v>
      </c>
      <c r="B3" s="20" t="s">
        <v>165</v>
      </c>
      <c r="C3" s="15">
        <f>'E Signal AVG Length'!N2</f>
        <v>6.5750000000000002</v>
      </c>
      <c r="D3" s="15">
        <v>25</v>
      </c>
      <c r="E3" s="15">
        <v>5.74</v>
      </c>
      <c r="F3" s="15">
        <f t="shared" si="0"/>
        <v>37.740500000000004</v>
      </c>
      <c r="G3" s="15">
        <f t="shared" si="1"/>
        <v>5.6610750000000003</v>
      </c>
      <c r="H3" s="15">
        <f t="shared" ref="H3:H10" si="11">1.2*C3</f>
        <v>7.89</v>
      </c>
      <c r="I3" s="15" t="s">
        <v>297</v>
      </c>
      <c r="J3" s="15">
        <v>21.4</v>
      </c>
      <c r="K3" s="15">
        <f t="shared" si="2"/>
        <v>168.84599999999998</v>
      </c>
      <c r="L3" s="15">
        <f t="shared" si="3"/>
        <v>212.24757499999998</v>
      </c>
      <c r="M3" s="15">
        <f t="shared" si="4"/>
        <v>10.61237875</v>
      </c>
      <c r="N3" s="15">
        <f t="shared" si="5"/>
        <v>105.2</v>
      </c>
      <c r="O3" s="15">
        <f t="shared" si="6"/>
        <v>328.05995374999998</v>
      </c>
      <c r="P3" s="15">
        <f t="shared" si="7"/>
        <v>49.208993062499992</v>
      </c>
      <c r="Q3" s="15">
        <f t="shared" si="8"/>
        <v>377.26894681249996</v>
      </c>
      <c r="R3" s="15">
        <f t="shared" si="9"/>
        <v>113.18068404374999</v>
      </c>
      <c r="S3" s="15">
        <f t="shared" si="10"/>
        <v>490.44963085624994</v>
      </c>
    </row>
    <row r="4" spans="1:19" ht="15.75" thickBot="1" x14ac:dyDescent="0.3">
      <c r="A4" s="93" t="s">
        <v>275</v>
      </c>
      <c r="B4" s="20" t="s">
        <v>166</v>
      </c>
      <c r="C4" s="20">
        <f>'N Sockets AVG Length'!K15</f>
        <v>10.735360195360196</v>
      </c>
      <c r="D4" s="20">
        <v>25</v>
      </c>
      <c r="E4" s="15">
        <v>5.74</v>
      </c>
      <c r="F4" s="20">
        <f t="shared" si="0"/>
        <v>61.620967521367525</v>
      </c>
      <c r="G4" s="15">
        <f t="shared" si="1"/>
        <v>9.2431451282051285</v>
      </c>
      <c r="H4" s="20">
        <f t="shared" si="11"/>
        <v>12.882432234432235</v>
      </c>
      <c r="I4" s="15" t="s">
        <v>297</v>
      </c>
      <c r="J4" s="15">
        <v>21.4</v>
      </c>
      <c r="K4" s="20">
        <f t="shared" si="2"/>
        <v>275.68404981684984</v>
      </c>
      <c r="L4" s="20">
        <f t="shared" si="3"/>
        <v>346.54816246642247</v>
      </c>
      <c r="M4" s="20">
        <f t="shared" si="4"/>
        <v>17.327408123321124</v>
      </c>
      <c r="N4" s="15">
        <f t="shared" si="5"/>
        <v>171.76576312576313</v>
      </c>
      <c r="O4" s="15">
        <f t="shared" si="6"/>
        <v>535.64133371550668</v>
      </c>
      <c r="P4" s="15">
        <f t="shared" si="7"/>
        <v>80.346200057326001</v>
      </c>
      <c r="Q4" s="20">
        <f t="shared" si="8"/>
        <v>615.98753377283265</v>
      </c>
      <c r="R4" s="20">
        <f t="shared" si="9"/>
        <v>184.79626013184978</v>
      </c>
      <c r="S4" s="20">
        <f t="shared" si="10"/>
        <v>800.7837939046824</v>
      </c>
    </row>
    <row r="5" spans="1:19" ht="15.75" thickBot="1" x14ac:dyDescent="0.3">
      <c r="A5" s="94"/>
      <c r="B5" s="20" t="s">
        <v>167</v>
      </c>
      <c r="C5" s="20">
        <f>C4</f>
        <v>10.735360195360196</v>
      </c>
      <c r="D5" s="20">
        <v>25</v>
      </c>
      <c r="E5" s="15">
        <f>459/60</f>
        <v>7.65</v>
      </c>
      <c r="F5" s="20">
        <f t="shared" si="0"/>
        <v>82.125505494505504</v>
      </c>
      <c r="G5" s="15">
        <f t="shared" si="1"/>
        <v>12.318825824175825</v>
      </c>
      <c r="H5" s="20">
        <f t="shared" si="11"/>
        <v>12.882432234432235</v>
      </c>
      <c r="I5" s="15" t="s">
        <v>297</v>
      </c>
      <c r="J5" s="15">
        <v>21.4</v>
      </c>
      <c r="K5" s="20">
        <f t="shared" si="2"/>
        <v>275.68404981684984</v>
      </c>
      <c r="L5" s="20">
        <f t="shared" si="3"/>
        <v>370.12838113553113</v>
      </c>
      <c r="M5" s="20">
        <f t="shared" si="4"/>
        <v>18.506419056776558</v>
      </c>
      <c r="N5" s="15">
        <f t="shared" si="5"/>
        <v>171.76576312576313</v>
      </c>
      <c r="O5" s="15">
        <f t="shared" si="6"/>
        <v>560.40056331807079</v>
      </c>
      <c r="P5" s="15">
        <f t="shared" si="7"/>
        <v>84.060084497710619</v>
      </c>
      <c r="Q5" s="20">
        <f t="shared" si="8"/>
        <v>644.46064781578139</v>
      </c>
      <c r="R5" s="20">
        <f t="shared" si="9"/>
        <v>193.3381943447344</v>
      </c>
      <c r="S5" s="20">
        <f t="shared" si="10"/>
        <v>837.79884216051573</v>
      </c>
    </row>
    <row r="6" spans="1:19" ht="15.75" thickBot="1" x14ac:dyDescent="0.3">
      <c r="A6" s="94"/>
      <c r="B6" s="20" t="s">
        <v>168</v>
      </c>
      <c r="C6" s="20">
        <f>'P Sockets AVG Length'!K13</f>
        <v>20.100000000000001</v>
      </c>
      <c r="D6" s="20">
        <v>25</v>
      </c>
      <c r="E6" s="15">
        <v>5.74</v>
      </c>
      <c r="F6" s="20">
        <f t="shared" si="0"/>
        <v>115.37400000000001</v>
      </c>
      <c r="G6" s="15">
        <f t="shared" si="1"/>
        <v>17.306100000000001</v>
      </c>
      <c r="H6" s="20">
        <f t="shared" si="11"/>
        <v>24.12</v>
      </c>
      <c r="I6" s="20" t="s">
        <v>296</v>
      </c>
      <c r="J6" s="20">
        <v>27.5</v>
      </c>
      <c r="K6" s="20">
        <f t="shared" si="2"/>
        <v>663.30000000000007</v>
      </c>
      <c r="L6" s="20">
        <f t="shared" si="3"/>
        <v>795.98010000000011</v>
      </c>
      <c r="M6" s="20">
        <f t="shared" si="4"/>
        <v>39.799005000000008</v>
      </c>
      <c r="N6" s="15">
        <f t="shared" si="5"/>
        <v>321.60000000000002</v>
      </c>
      <c r="O6" s="15">
        <f t="shared" si="6"/>
        <v>1157.379105</v>
      </c>
      <c r="P6" s="15">
        <f t="shared" si="7"/>
        <v>173.60686575</v>
      </c>
      <c r="Q6" s="20">
        <f t="shared" si="8"/>
        <v>1330.98597075</v>
      </c>
      <c r="R6" s="20">
        <f t="shared" si="9"/>
        <v>399.29579122499996</v>
      </c>
      <c r="S6" s="20">
        <f t="shared" si="10"/>
        <v>1730.2817619749999</v>
      </c>
    </row>
    <row r="7" spans="1:19" ht="15.75" thickBot="1" x14ac:dyDescent="0.3">
      <c r="A7" s="94"/>
      <c r="B7" s="20" t="s">
        <v>261</v>
      </c>
      <c r="C7" s="20">
        <f>'DC&amp;H AVG Length'!J20</f>
        <v>18.3</v>
      </c>
      <c r="D7" s="20">
        <v>25</v>
      </c>
      <c r="E7" s="15">
        <f>459/60</f>
        <v>7.65</v>
      </c>
      <c r="F7" s="20">
        <f t="shared" si="0"/>
        <v>139.995</v>
      </c>
      <c r="G7" s="20">
        <f t="shared" si="1"/>
        <v>20.99925</v>
      </c>
      <c r="H7" s="20">
        <f t="shared" si="11"/>
        <v>21.96</v>
      </c>
      <c r="I7" s="20" t="s">
        <v>296</v>
      </c>
      <c r="J7" s="20">
        <v>27.5</v>
      </c>
      <c r="K7" s="20">
        <f t="shared" si="2"/>
        <v>603.9</v>
      </c>
      <c r="L7" s="20">
        <f t="shared" si="3"/>
        <v>764.89424999999994</v>
      </c>
      <c r="M7" s="20">
        <f t="shared" si="4"/>
        <v>38.244712499999999</v>
      </c>
      <c r="N7" s="15">
        <f t="shared" si="5"/>
        <v>292.8</v>
      </c>
      <c r="O7" s="15">
        <f t="shared" si="6"/>
        <v>1095.9389624999999</v>
      </c>
      <c r="P7" s="15">
        <f t="shared" si="7"/>
        <v>164.39084437499997</v>
      </c>
      <c r="Q7" s="20">
        <f t="shared" si="8"/>
        <v>1260.3298068749998</v>
      </c>
      <c r="R7" s="20">
        <f t="shared" si="9"/>
        <v>378.09894206249993</v>
      </c>
      <c r="S7" s="20">
        <f t="shared" si="10"/>
        <v>1638.4287489374997</v>
      </c>
    </row>
    <row r="8" spans="1:19" ht="15.75" thickBot="1" x14ac:dyDescent="0.3">
      <c r="A8" s="95"/>
      <c r="B8" s="20" t="s">
        <v>262</v>
      </c>
      <c r="C8" s="20">
        <f>'DC&amp;H AVG Length'!J18</f>
        <v>20.90625</v>
      </c>
      <c r="D8" s="20">
        <v>25</v>
      </c>
      <c r="E8" s="15">
        <f>459/60</f>
        <v>7.65</v>
      </c>
      <c r="F8" s="20">
        <f t="shared" si="0"/>
        <v>159.93281250000001</v>
      </c>
      <c r="G8" s="20">
        <f t="shared" si="1"/>
        <v>23.989921875</v>
      </c>
      <c r="H8" s="20">
        <f>1.2*C8</f>
        <v>25.087499999999999</v>
      </c>
      <c r="I8" s="20" t="s">
        <v>298</v>
      </c>
      <c r="J8" s="20">
        <v>34.5</v>
      </c>
      <c r="K8" s="20">
        <f t="shared" si="2"/>
        <v>865.51874999999995</v>
      </c>
      <c r="L8" s="20">
        <f t="shared" si="3"/>
        <v>1049.4414843750001</v>
      </c>
      <c r="M8" s="20">
        <f t="shared" si="4"/>
        <v>52.472074218750009</v>
      </c>
      <c r="N8" s="15">
        <f t="shared" ref="N8:N13" si="12">C8*16</f>
        <v>334.5</v>
      </c>
      <c r="O8" s="15">
        <f t="shared" si="6"/>
        <v>1436.4135585937502</v>
      </c>
      <c r="P8" s="15">
        <f t="shared" si="7"/>
        <v>215.46203378906253</v>
      </c>
      <c r="Q8" s="20">
        <f t="shared" si="8"/>
        <v>1651.8755923828128</v>
      </c>
      <c r="R8" s="20">
        <f t="shared" si="9"/>
        <v>495.5626777148438</v>
      </c>
      <c r="S8" s="20">
        <f t="shared" si="10"/>
        <v>2147.4382700976566</v>
      </c>
    </row>
    <row r="9" spans="1:19" ht="34.5" customHeight="1" thickBot="1" x14ac:dyDescent="0.3">
      <c r="A9" s="89" t="s">
        <v>234</v>
      </c>
      <c r="B9" s="7" t="s">
        <v>180</v>
      </c>
      <c r="C9" s="15">
        <f>'Fire alarm AVG Length'!L3</f>
        <v>5.375</v>
      </c>
      <c r="D9" s="20">
        <v>20</v>
      </c>
      <c r="E9" s="15">
        <v>20</v>
      </c>
      <c r="F9" s="20">
        <f t="shared" si="0"/>
        <v>107.5</v>
      </c>
      <c r="G9" s="20">
        <f>F9</f>
        <v>107.5</v>
      </c>
      <c r="H9" s="20">
        <f t="shared" si="11"/>
        <v>6.45</v>
      </c>
      <c r="I9" s="20" t="s">
        <v>212</v>
      </c>
      <c r="J9" s="20">
        <v>17.55</v>
      </c>
      <c r="K9" s="20">
        <f t="shared" si="2"/>
        <v>113.19750000000001</v>
      </c>
      <c r="L9" s="20">
        <f t="shared" si="3"/>
        <v>328.19749999999999</v>
      </c>
      <c r="M9" s="20">
        <f t="shared" si="4"/>
        <v>16.409875</v>
      </c>
      <c r="N9" s="15">
        <f>C9*25</f>
        <v>134.375</v>
      </c>
      <c r="O9" s="15">
        <f t="shared" si="6"/>
        <v>478.98237499999999</v>
      </c>
      <c r="P9" s="15">
        <f t="shared" si="7"/>
        <v>71.84735624999999</v>
      </c>
      <c r="Q9" s="20">
        <f t="shared" si="8"/>
        <v>550.82973125000001</v>
      </c>
      <c r="R9" s="20">
        <f t="shared" si="9"/>
        <v>165.24891937499999</v>
      </c>
      <c r="S9" s="20">
        <f t="shared" si="10"/>
        <v>716.07865062500002</v>
      </c>
    </row>
    <row r="10" spans="1:19" ht="28.5" customHeight="1" thickBot="1" x14ac:dyDescent="0.3">
      <c r="A10" s="72"/>
      <c r="B10" s="7" t="s">
        <v>96</v>
      </c>
      <c r="C10" s="15">
        <f>'Fire alarm AVG Length'!M8</f>
        <v>19.899999999999999</v>
      </c>
      <c r="D10" s="20">
        <v>20</v>
      </c>
      <c r="E10" s="15">
        <v>20</v>
      </c>
      <c r="F10" s="20">
        <f t="shared" si="0"/>
        <v>398</v>
      </c>
      <c r="G10" s="20">
        <f>F10</f>
        <v>398</v>
      </c>
      <c r="H10" s="20">
        <f t="shared" si="11"/>
        <v>23.88</v>
      </c>
      <c r="I10" s="20" t="s">
        <v>211</v>
      </c>
      <c r="J10" s="20">
        <v>26.39</v>
      </c>
      <c r="K10" s="20">
        <f t="shared" si="2"/>
        <v>630.19319999999993</v>
      </c>
      <c r="L10" s="20">
        <f t="shared" si="3"/>
        <v>1426.1931999999999</v>
      </c>
      <c r="M10" s="20">
        <f t="shared" si="4"/>
        <v>71.309659999999994</v>
      </c>
      <c r="N10" s="15">
        <f>C10*25</f>
        <v>497.49999999999994</v>
      </c>
      <c r="O10" s="15">
        <f t="shared" si="6"/>
        <v>1995.0028599999998</v>
      </c>
      <c r="P10" s="15">
        <f t="shared" si="7"/>
        <v>299.25042899999994</v>
      </c>
      <c r="Q10" s="20">
        <f t="shared" si="8"/>
        <v>2294.2532889999998</v>
      </c>
      <c r="R10" s="20">
        <f t="shared" si="9"/>
        <v>688.27598669999986</v>
      </c>
      <c r="S10" s="20">
        <f t="shared" si="10"/>
        <v>2982.5292756999997</v>
      </c>
    </row>
    <row r="11" spans="1:19" ht="15.75" thickBot="1" x14ac:dyDescent="0.3">
      <c r="A11" s="15" t="s">
        <v>79</v>
      </c>
      <c r="B11" s="7" t="s">
        <v>189</v>
      </c>
      <c r="C11" s="15">
        <f>'CAM AVG Length'!L10</f>
        <v>8.0250000000000004</v>
      </c>
      <c r="D11" s="20">
        <v>20</v>
      </c>
      <c r="E11" s="15">
        <v>5.74</v>
      </c>
      <c r="F11" s="20">
        <f t="shared" si="0"/>
        <v>46.063500000000005</v>
      </c>
      <c r="G11" s="20">
        <f>0.15*F11</f>
        <v>6.9095250000000004</v>
      </c>
      <c r="H11" s="20">
        <f>2*C11</f>
        <v>16.05</v>
      </c>
      <c r="I11" s="20" t="s">
        <v>299</v>
      </c>
      <c r="J11" s="20">
        <v>9.7100000000000009</v>
      </c>
      <c r="K11" s="20">
        <f t="shared" si="2"/>
        <v>155.84550000000002</v>
      </c>
      <c r="L11" s="20">
        <f t="shared" si="3"/>
        <v>208.81852500000002</v>
      </c>
      <c r="M11" s="20">
        <f t="shared" si="4"/>
        <v>10.440926250000002</v>
      </c>
      <c r="N11" s="15">
        <f t="shared" si="12"/>
        <v>128.4</v>
      </c>
      <c r="O11" s="15">
        <f t="shared" si="6"/>
        <v>347.65945125000002</v>
      </c>
      <c r="P11" s="15">
        <f t="shared" si="7"/>
        <v>52.148917687500003</v>
      </c>
      <c r="Q11" s="20">
        <f t="shared" si="8"/>
        <v>399.80836893750001</v>
      </c>
      <c r="R11" s="20">
        <f t="shared" si="9"/>
        <v>119.94251068125</v>
      </c>
      <c r="S11" s="20">
        <f t="shared" si="10"/>
        <v>519.75087961874999</v>
      </c>
    </row>
    <row r="12" spans="1:19" ht="15.75" thickBot="1" x14ac:dyDescent="0.3">
      <c r="A12" s="15" t="s">
        <v>263</v>
      </c>
      <c r="B12" s="7" t="s">
        <v>254</v>
      </c>
      <c r="C12" s="15">
        <f>'Telephone&amp;Data AVG Length'!J45</f>
        <v>9.745238095238097</v>
      </c>
      <c r="D12" s="20">
        <v>20</v>
      </c>
      <c r="E12" s="15">
        <v>5.74</v>
      </c>
      <c r="F12" s="20">
        <f t="shared" si="0"/>
        <v>55.937666666666679</v>
      </c>
      <c r="G12" s="20">
        <f>0.15*F12</f>
        <v>8.3906500000000008</v>
      </c>
      <c r="H12" s="20">
        <f>2*C12</f>
        <v>19.490476190476194</v>
      </c>
      <c r="I12" s="20" t="s">
        <v>299</v>
      </c>
      <c r="J12" s="20">
        <v>9.7100000000000009</v>
      </c>
      <c r="K12" s="20">
        <f t="shared" si="2"/>
        <v>189.25252380952386</v>
      </c>
      <c r="L12" s="20">
        <f t="shared" si="3"/>
        <v>253.58084047619053</v>
      </c>
      <c r="M12" s="20">
        <f t="shared" si="4"/>
        <v>12.679042023809528</v>
      </c>
      <c r="N12" s="15">
        <f t="shared" si="12"/>
        <v>155.92380952380955</v>
      </c>
      <c r="O12" s="15">
        <f t="shared" si="6"/>
        <v>422.18369202380961</v>
      </c>
      <c r="P12" s="15">
        <f t="shared" si="7"/>
        <v>63.32755380357144</v>
      </c>
      <c r="Q12" s="20">
        <f t="shared" si="8"/>
        <v>485.51124582738106</v>
      </c>
      <c r="R12" s="20">
        <f t="shared" si="9"/>
        <v>145.65337374821431</v>
      </c>
      <c r="S12" s="20">
        <f t="shared" si="10"/>
        <v>631.16461957559534</v>
      </c>
    </row>
    <row r="13" spans="1:19" ht="15.75" thickBot="1" x14ac:dyDescent="0.3">
      <c r="A13" s="15" t="s">
        <v>264</v>
      </c>
      <c r="B13" s="7" t="s">
        <v>67</v>
      </c>
      <c r="C13" s="15">
        <f>'Telephone&amp;Data AVG Length'!J45</f>
        <v>9.745238095238097</v>
      </c>
      <c r="D13" s="20">
        <v>20</v>
      </c>
      <c r="E13" s="15">
        <v>5.74</v>
      </c>
      <c r="F13" s="20">
        <f t="shared" si="0"/>
        <v>55.937666666666679</v>
      </c>
      <c r="G13" s="20">
        <f>0.15*F13</f>
        <v>8.3906500000000008</v>
      </c>
      <c r="H13" s="20">
        <f>2*C13</f>
        <v>19.490476190476194</v>
      </c>
      <c r="I13" s="20" t="s">
        <v>299</v>
      </c>
      <c r="J13" s="20">
        <v>9.7100000000000009</v>
      </c>
      <c r="K13" s="20">
        <f t="shared" si="2"/>
        <v>189.25252380952386</v>
      </c>
      <c r="L13" s="20">
        <f t="shared" si="3"/>
        <v>253.58084047619053</v>
      </c>
      <c r="M13" s="20">
        <f t="shared" si="4"/>
        <v>12.679042023809528</v>
      </c>
      <c r="N13" s="15">
        <f t="shared" si="12"/>
        <v>155.92380952380955</v>
      </c>
      <c r="O13" s="15">
        <f t="shared" si="6"/>
        <v>422.18369202380961</v>
      </c>
      <c r="P13" s="15">
        <f t="shared" si="7"/>
        <v>63.32755380357144</v>
      </c>
      <c r="Q13" s="20">
        <f t="shared" si="8"/>
        <v>485.51124582738106</v>
      </c>
      <c r="R13" s="20">
        <f t="shared" si="9"/>
        <v>145.65337374821431</v>
      </c>
      <c r="S13" s="20">
        <f t="shared" si="10"/>
        <v>631.16461957559534</v>
      </c>
    </row>
  </sheetData>
  <mergeCells count="2">
    <mergeCell ref="A4:A8"/>
    <mergeCell ref="A9:A10"/>
  </mergeCells>
  <pageMargins left="0.7" right="0.7" top="0.75" bottom="0.75" header="0.3" footer="0.3"/>
  <pageSetup scale="54"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C6CE0-D149-4B2C-8DC4-F05A820F4CB4}">
  <dimension ref="A1:N4"/>
  <sheetViews>
    <sheetView workbookViewId="0">
      <selection activeCell="I7" sqref="I7"/>
    </sheetView>
  </sheetViews>
  <sheetFormatPr defaultRowHeight="15" x14ac:dyDescent="0.25"/>
  <cols>
    <col min="1" max="1" width="23.140625" bestFit="1" customWidth="1"/>
    <col min="2" max="2" width="18.5703125" bestFit="1" customWidth="1"/>
    <col min="3" max="3" width="11.42578125" bestFit="1" customWidth="1"/>
    <col min="4" max="5" width="14.140625" bestFit="1" customWidth="1"/>
    <col min="7" max="7" width="14.140625" bestFit="1" customWidth="1"/>
    <col min="9" max="9" width="14.7109375" bestFit="1" customWidth="1"/>
    <col min="10" max="10" width="10.28515625" bestFit="1" customWidth="1"/>
    <col min="11" max="11" width="11.85546875" bestFit="1" customWidth="1"/>
    <col min="12" max="12" width="8" bestFit="1" customWidth="1"/>
    <col min="13" max="13" width="9.7109375" bestFit="1" customWidth="1"/>
    <col min="14" max="14" width="14.28515625" bestFit="1" customWidth="1"/>
  </cols>
  <sheetData>
    <row r="1" spans="1:14" ht="60.75" customHeight="1" thickBot="1" x14ac:dyDescent="0.3">
      <c r="A1" s="13" t="s">
        <v>223</v>
      </c>
      <c r="B1" s="13" t="s">
        <v>227</v>
      </c>
      <c r="C1" s="13" t="s">
        <v>224</v>
      </c>
      <c r="D1" s="13" t="s">
        <v>225</v>
      </c>
      <c r="E1" s="13" t="s">
        <v>226</v>
      </c>
      <c r="F1" s="13" t="s">
        <v>228</v>
      </c>
      <c r="G1" s="13" t="s">
        <v>229</v>
      </c>
      <c r="H1" s="13" t="s">
        <v>230</v>
      </c>
      <c r="I1" s="9" t="s">
        <v>101</v>
      </c>
      <c r="J1" s="9" t="s">
        <v>103</v>
      </c>
      <c r="K1" s="9" t="s">
        <v>104</v>
      </c>
      <c r="L1" s="9" t="s">
        <v>105</v>
      </c>
      <c r="M1" s="9" t="s">
        <v>106</v>
      </c>
      <c r="N1" s="31" t="s">
        <v>108</v>
      </c>
    </row>
    <row r="2" spans="1:14" ht="16.5" thickBot="1" x14ac:dyDescent="0.3">
      <c r="A2" s="2" t="s">
        <v>249</v>
      </c>
      <c r="B2" s="15">
        <v>80</v>
      </c>
      <c r="C2" s="15">
        <v>1</v>
      </c>
      <c r="D2" s="15">
        <v>0</v>
      </c>
      <c r="E2" s="15">
        <v>39</v>
      </c>
      <c r="F2" s="15">
        <f>(E2*50+D2*150+(C2)*450)</f>
        <v>2400</v>
      </c>
      <c r="G2" s="15">
        <f>IF(B2&lt;=400, B2*2, B2*1)</f>
        <v>160</v>
      </c>
      <c r="H2" s="15">
        <f>G2+F2</f>
        <v>2560</v>
      </c>
      <c r="I2" s="15">
        <f>0.05*H2</f>
        <v>128</v>
      </c>
      <c r="J2" s="15">
        <f>H2+I2</f>
        <v>2688</v>
      </c>
      <c r="K2" s="15">
        <f>0.1*J2</f>
        <v>268.8</v>
      </c>
      <c r="L2" s="15">
        <f>J2+K2</f>
        <v>2956.8</v>
      </c>
      <c r="M2" s="15">
        <f>0.3*L2</f>
        <v>887.04000000000008</v>
      </c>
      <c r="N2" s="15">
        <f>L2+M2</f>
        <v>3843.84</v>
      </c>
    </row>
    <row r="3" spans="1:14" ht="16.5" thickBot="1" x14ac:dyDescent="0.3">
      <c r="A3" s="2" t="s">
        <v>250</v>
      </c>
      <c r="B3" s="15">
        <v>40</v>
      </c>
      <c r="C3" s="15">
        <v>1</v>
      </c>
      <c r="D3" s="15">
        <v>0</v>
      </c>
      <c r="E3" s="15">
        <v>23</v>
      </c>
      <c r="F3" s="15">
        <f>(E3*50+D3*150+(C3)*450)</f>
        <v>1600</v>
      </c>
      <c r="G3" s="15">
        <f>IF(B3&lt;=400, B3*2, B3*1)</f>
        <v>80</v>
      </c>
      <c r="H3" s="15">
        <f>G3+F3</f>
        <v>1680</v>
      </c>
      <c r="I3" s="15">
        <f>0.05*H3</f>
        <v>84</v>
      </c>
      <c r="J3" s="15">
        <f>H3+I3</f>
        <v>1764</v>
      </c>
      <c r="K3" s="15">
        <f>0.1*J3</f>
        <v>176.4</v>
      </c>
      <c r="L3" s="15">
        <f>J3+K3</f>
        <v>1940.4</v>
      </c>
      <c r="M3" s="15">
        <f>0.3*L3</f>
        <v>582.12</v>
      </c>
      <c r="N3" s="15">
        <f>L3+M3</f>
        <v>2522.52</v>
      </c>
    </row>
    <row r="4" spans="1:14" ht="16.5" thickBot="1" x14ac:dyDescent="0.3">
      <c r="A4" s="2" t="s">
        <v>41</v>
      </c>
      <c r="B4" s="15">
        <v>80</v>
      </c>
      <c r="C4" s="15">
        <v>1</v>
      </c>
      <c r="D4" s="15">
        <v>4</v>
      </c>
      <c r="E4" s="15">
        <v>0</v>
      </c>
      <c r="F4" s="15">
        <f>(E4*50+D4*150+(C4)*450)</f>
        <v>1050</v>
      </c>
      <c r="G4" s="15">
        <f>IF(B4&lt;=400, B4*2, B4*1)</f>
        <v>160</v>
      </c>
      <c r="H4" s="15">
        <f>G4+F4</f>
        <v>1210</v>
      </c>
      <c r="I4" s="15">
        <f>0.05*H4</f>
        <v>60.5</v>
      </c>
      <c r="J4" s="15">
        <f>H4+I4</f>
        <v>1270.5</v>
      </c>
      <c r="K4" s="15">
        <f>0.1*J4</f>
        <v>127.05000000000001</v>
      </c>
      <c r="L4" s="15">
        <f>J4+K4</f>
        <v>1397.55</v>
      </c>
      <c r="M4" s="15">
        <f>0.3*L4</f>
        <v>419.26499999999999</v>
      </c>
      <c r="N4" s="15">
        <f>L4+M4</f>
        <v>1816.8150000000001</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1DD46-5594-45D6-962D-42930B8E5B1F}">
  <dimension ref="A1:I31"/>
  <sheetViews>
    <sheetView workbookViewId="0">
      <selection activeCell="D2" sqref="D2"/>
    </sheetView>
  </sheetViews>
  <sheetFormatPr defaultRowHeight="15" x14ac:dyDescent="0.25"/>
  <cols>
    <col min="1" max="1" width="28.85546875" bestFit="1" customWidth="1"/>
    <col min="2" max="2" width="38" bestFit="1" customWidth="1"/>
    <col min="3" max="3" width="12.28515625" customWidth="1"/>
    <col min="4" max="4" width="14.7109375" bestFit="1" customWidth="1"/>
    <col min="5" max="5" width="10.28515625" bestFit="1" customWidth="1"/>
    <col min="6" max="6" width="11.85546875" bestFit="1" customWidth="1"/>
    <col min="7" max="7" width="8" bestFit="1" customWidth="1"/>
    <col min="8" max="8" width="9.7109375" bestFit="1" customWidth="1"/>
    <col min="9" max="9" width="14.28515625" bestFit="1" customWidth="1"/>
  </cols>
  <sheetData>
    <row r="1" spans="1:9" ht="45" customHeight="1" thickBot="1" x14ac:dyDescent="0.3">
      <c r="A1" s="23" t="s">
        <v>290</v>
      </c>
      <c r="B1" s="61" t="s">
        <v>3</v>
      </c>
      <c r="C1" s="9" t="s">
        <v>102</v>
      </c>
      <c r="D1" s="9" t="s">
        <v>101</v>
      </c>
      <c r="E1" s="9" t="s">
        <v>103</v>
      </c>
      <c r="F1" s="9" t="s">
        <v>104</v>
      </c>
      <c r="G1" s="9" t="s">
        <v>105</v>
      </c>
      <c r="H1" s="9" t="s">
        <v>106</v>
      </c>
      <c r="I1" s="31" t="s">
        <v>108</v>
      </c>
    </row>
    <row r="2" spans="1:9" ht="16.5" thickBot="1" x14ac:dyDescent="0.3">
      <c r="A2" s="105" t="s">
        <v>293</v>
      </c>
      <c r="B2" s="2" t="s">
        <v>231</v>
      </c>
      <c r="C2" s="2">
        <v>70</v>
      </c>
      <c r="D2" s="15">
        <f>0.04*C2</f>
        <v>2.8000000000000003</v>
      </c>
      <c r="E2" s="15">
        <f>C2+D2</f>
        <v>72.8</v>
      </c>
      <c r="F2" s="15">
        <f>0.1*E2</f>
        <v>7.28</v>
      </c>
      <c r="G2" s="15">
        <f>E2+F2</f>
        <v>80.08</v>
      </c>
      <c r="H2" s="15">
        <f>G2*0.3</f>
        <v>24.023999999999997</v>
      </c>
      <c r="I2" s="15">
        <f>H2+G2</f>
        <v>104.104</v>
      </c>
    </row>
    <row r="3" spans="1:9" ht="16.5" thickBot="1" x14ac:dyDescent="0.3">
      <c r="A3" s="105"/>
      <c r="B3" s="2" t="s">
        <v>165</v>
      </c>
      <c r="C3" s="2">
        <v>80</v>
      </c>
      <c r="D3" s="15">
        <f t="shared" ref="D3:D11" si="0">0.04*C3</f>
        <v>3.2</v>
      </c>
      <c r="E3" s="15">
        <f t="shared" ref="E3:E11" si="1">C3+D3</f>
        <v>83.2</v>
      </c>
      <c r="F3" s="15">
        <f t="shared" ref="F3:F11" si="2">0.1*E3</f>
        <v>8.32</v>
      </c>
      <c r="G3" s="15">
        <f t="shared" ref="G3:G11" si="3">E3+F3</f>
        <v>91.52000000000001</v>
      </c>
      <c r="H3" s="15">
        <f t="shared" ref="H3:H11" si="4">G3*0.3</f>
        <v>27.456000000000003</v>
      </c>
      <c r="I3" s="15">
        <f t="shared" ref="I3:I11" si="5">H3+G3</f>
        <v>118.97600000000001</v>
      </c>
    </row>
    <row r="4" spans="1:9" ht="16.5" thickBot="1" x14ac:dyDescent="0.3">
      <c r="A4" s="106" t="s">
        <v>294</v>
      </c>
      <c r="B4" s="2" t="s">
        <v>232</v>
      </c>
      <c r="C4" s="2">
        <v>25</v>
      </c>
      <c r="D4" s="15">
        <f t="shared" si="0"/>
        <v>1</v>
      </c>
      <c r="E4" s="15">
        <f t="shared" si="1"/>
        <v>26</v>
      </c>
      <c r="F4" s="15">
        <f t="shared" si="2"/>
        <v>2.6</v>
      </c>
      <c r="G4" s="15">
        <f t="shared" si="3"/>
        <v>28.6</v>
      </c>
      <c r="H4" s="15">
        <f t="shared" si="4"/>
        <v>8.58</v>
      </c>
      <c r="I4" s="15">
        <f t="shared" si="5"/>
        <v>37.18</v>
      </c>
    </row>
    <row r="5" spans="1:9" ht="16.5" thickBot="1" x14ac:dyDescent="0.3">
      <c r="A5" s="107"/>
      <c r="B5" s="2" t="s">
        <v>168</v>
      </c>
      <c r="C5" s="2">
        <v>40</v>
      </c>
      <c r="D5" s="15">
        <f>0.04*C5</f>
        <v>1.6</v>
      </c>
      <c r="E5" s="15">
        <f>C5+D5</f>
        <v>41.6</v>
      </c>
      <c r="F5" s="15">
        <f>0.1*E5</f>
        <v>4.16</v>
      </c>
      <c r="G5" s="15">
        <f>E5+F5</f>
        <v>45.760000000000005</v>
      </c>
      <c r="H5" s="15">
        <f>G5*0.3</f>
        <v>13.728000000000002</v>
      </c>
      <c r="I5" s="15">
        <f>H5+G5</f>
        <v>59.488000000000007</v>
      </c>
    </row>
    <row r="6" spans="1:9" ht="16.5" thickBot="1" x14ac:dyDescent="0.3">
      <c r="A6" s="107"/>
      <c r="B6" s="2" t="s">
        <v>167</v>
      </c>
      <c r="C6" s="2">
        <v>35</v>
      </c>
      <c r="D6" s="15">
        <f t="shared" si="0"/>
        <v>1.4000000000000001</v>
      </c>
      <c r="E6" s="15">
        <f t="shared" si="1"/>
        <v>36.4</v>
      </c>
      <c r="F6" s="15">
        <f t="shared" si="2"/>
        <v>3.64</v>
      </c>
      <c r="G6" s="15">
        <f t="shared" si="3"/>
        <v>40.04</v>
      </c>
      <c r="H6" s="15">
        <f t="shared" si="4"/>
        <v>12.011999999999999</v>
      </c>
      <c r="I6" s="15">
        <f t="shared" si="5"/>
        <v>52.052</v>
      </c>
    </row>
    <row r="7" spans="1:9" ht="16.5" thickBot="1" x14ac:dyDescent="0.3">
      <c r="A7" s="107"/>
      <c r="B7" s="2" t="s">
        <v>257</v>
      </c>
      <c r="C7" s="2">
        <v>40</v>
      </c>
      <c r="D7" s="15">
        <f>0.04*C7</f>
        <v>1.6</v>
      </c>
      <c r="E7" s="15">
        <f>C7+D7</f>
        <v>41.6</v>
      </c>
      <c r="F7" s="15">
        <f>0.1*E7</f>
        <v>4.16</v>
      </c>
      <c r="G7" s="15">
        <f>E7+F7</f>
        <v>45.760000000000005</v>
      </c>
      <c r="H7" s="15">
        <f>G7*0.3</f>
        <v>13.728000000000002</v>
      </c>
      <c r="I7" s="15">
        <f>H7+G7</f>
        <v>59.488000000000007</v>
      </c>
    </row>
    <row r="8" spans="1:9" ht="16.5" thickBot="1" x14ac:dyDescent="0.3">
      <c r="A8" s="107"/>
      <c r="B8" s="2" t="s">
        <v>274</v>
      </c>
      <c r="C8" s="2">
        <v>50</v>
      </c>
      <c r="D8" s="15">
        <f>0.04*C8</f>
        <v>2</v>
      </c>
      <c r="E8" s="15">
        <f>C8+D8</f>
        <v>52</v>
      </c>
      <c r="F8" s="15">
        <f>0.1*E8</f>
        <v>5.2</v>
      </c>
      <c r="G8" s="15">
        <f>E8+F8</f>
        <v>57.2</v>
      </c>
      <c r="H8" s="15">
        <f>G8*0.3</f>
        <v>17.16</v>
      </c>
      <c r="I8" s="15">
        <f>H8+G8</f>
        <v>74.36</v>
      </c>
    </row>
    <row r="9" spans="1:9" ht="16.5" thickBot="1" x14ac:dyDescent="0.3">
      <c r="A9" s="108"/>
      <c r="B9" s="2" t="s">
        <v>258</v>
      </c>
      <c r="C9" s="2">
        <v>189</v>
      </c>
      <c r="D9" s="15">
        <f>0.04*C9</f>
        <v>7.5600000000000005</v>
      </c>
      <c r="E9" s="15">
        <f>C9+D9</f>
        <v>196.56</v>
      </c>
      <c r="F9" s="15">
        <f>0.1*E9</f>
        <v>19.656000000000002</v>
      </c>
      <c r="G9" s="15">
        <f>E9+F9</f>
        <v>216.21600000000001</v>
      </c>
      <c r="H9" s="15">
        <f>G9*0.3</f>
        <v>64.864800000000002</v>
      </c>
      <c r="I9" s="15">
        <f>H9+G9</f>
        <v>281.08080000000001</v>
      </c>
    </row>
    <row r="10" spans="1:9" ht="16.5" thickBot="1" x14ac:dyDescent="0.3">
      <c r="A10" s="62" t="s">
        <v>292</v>
      </c>
      <c r="B10" s="7" t="s">
        <v>233</v>
      </c>
      <c r="C10" s="2"/>
      <c r="D10" s="15">
        <f>0.04*C10</f>
        <v>0</v>
      </c>
      <c r="E10" s="15">
        <f>C10+D10</f>
        <v>0</v>
      </c>
      <c r="F10" s="15">
        <f>0.1*E10</f>
        <v>0</v>
      </c>
      <c r="G10" s="15">
        <f>E10+F10</f>
        <v>0</v>
      </c>
      <c r="H10" s="15">
        <f>G10*0.3</f>
        <v>0</v>
      </c>
      <c r="I10" s="15">
        <f>H10+G10</f>
        <v>0</v>
      </c>
    </row>
    <row r="11" spans="1:9" ht="16.5" thickBot="1" x14ac:dyDescent="0.3">
      <c r="A11" s="106" t="s">
        <v>90</v>
      </c>
      <c r="B11" s="7" t="s">
        <v>234</v>
      </c>
      <c r="C11" s="2">
        <v>2500</v>
      </c>
      <c r="D11" s="15">
        <f t="shared" si="0"/>
        <v>100</v>
      </c>
      <c r="E11" s="15">
        <f t="shared" si="1"/>
        <v>2600</v>
      </c>
      <c r="F11" s="15">
        <f t="shared" si="2"/>
        <v>260</v>
      </c>
      <c r="G11" s="15">
        <f t="shared" si="3"/>
        <v>2860</v>
      </c>
      <c r="H11" s="15">
        <f t="shared" si="4"/>
        <v>858</v>
      </c>
      <c r="I11" s="15">
        <f t="shared" si="5"/>
        <v>3718</v>
      </c>
    </row>
    <row r="12" spans="1:9" ht="16.5" thickBot="1" x14ac:dyDescent="0.3">
      <c r="A12" s="108"/>
      <c r="B12" s="2" t="s">
        <v>235</v>
      </c>
      <c r="C12" s="2">
        <v>100</v>
      </c>
      <c r="D12" s="15">
        <f t="shared" ref="D12:D21" si="6">0.04*C12</f>
        <v>4</v>
      </c>
      <c r="E12" s="15">
        <f t="shared" ref="E12:E21" si="7">C12+D12</f>
        <v>104</v>
      </c>
      <c r="F12" s="15">
        <f t="shared" ref="F12:F21" si="8">0.1*E12</f>
        <v>10.4</v>
      </c>
      <c r="G12" s="15">
        <f t="shared" ref="G12:G21" si="9">E12+F12</f>
        <v>114.4</v>
      </c>
      <c r="H12" s="15">
        <f t="shared" ref="H12:H21" si="10">G12*0.3</f>
        <v>34.32</v>
      </c>
      <c r="I12" s="15">
        <f t="shared" ref="I12:I21" si="11">H12+G12</f>
        <v>148.72</v>
      </c>
    </row>
    <row r="13" spans="1:9" ht="16.5" thickBot="1" x14ac:dyDescent="0.3">
      <c r="A13" s="62" t="s">
        <v>289</v>
      </c>
      <c r="B13" s="2" t="s">
        <v>289</v>
      </c>
      <c r="C13" s="2">
        <v>3000</v>
      </c>
      <c r="D13" s="15">
        <f t="shared" si="6"/>
        <v>120</v>
      </c>
      <c r="E13" s="15">
        <f t="shared" si="7"/>
        <v>3120</v>
      </c>
      <c r="F13" s="15">
        <f t="shared" si="8"/>
        <v>312</v>
      </c>
      <c r="G13" s="15">
        <f t="shared" si="9"/>
        <v>3432</v>
      </c>
      <c r="H13" s="15">
        <f t="shared" si="10"/>
        <v>1029.5999999999999</v>
      </c>
      <c r="I13" s="15">
        <f t="shared" si="11"/>
        <v>4461.6000000000004</v>
      </c>
    </row>
    <row r="14" spans="1:9" ht="16.5" thickBot="1" x14ac:dyDescent="0.3">
      <c r="A14" s="106" t="s">
        <v>291</v>
      </c>
      <c r="B14" s="2" t="s">
        <v>284</v>
      </c>
      <c r="C14" s="2"/>
      <c r="D14" s="15">
        <f t="shared" si="6"/>
        <v>0</v>
      </c>
      <c r="E14" s="15">
        <f t="shared" si="7"/>
        <v>0</v>
      </c>
      <c r="F14" s="15">
        <f t="shared" si="8"/>
        <v>0</v>
      </c>
      <c r="G14" s="15">
        <f t="shared" si="9"/>
        <v>0</v>
      </c>
      <c r="H14" s="15">
        <f t="shared" si="10"/>
        <v>0</v>
      </c>
      <c r="I14" s="15">
        <f t="shared" si="11"/>
        <v>0</v>
      </c>
    </row>
    <row r="15" spans="1:9" ht="16.5" thickBot="1" x14ac:dyDescent="0.3">
      <c r="A15" s="107"/>
      <c r="B15" s="2" t="s">
        <v>285</v>
      </c>
      <c r="C15" s="2"/>
      <c r="D15" s="15">
        <f t="shared" si="6"/>
        <v>0</v>
      </c>
      <c r="E15" s="15">
        <f t="shared" si="7"/>
        <v>0</v>
      </c>
      <c r="F15" s="15">
        <f t="shared" si="8"/>
        <v>0</v>
      </c>
      <c r="G15" s="15">
        <f t="shared" si="9"/>
        <v>0</v>
      </c>
      <c r="H15" s="15">
        <f t="shared" si="10"/>
        <v>0</v>
      </c>
      <c r="I15" s="15">
        <f t="shared" si="11"/>
        <v>0</v>
      </c>
    </row>
    <row r="16" spans="1:9" ht="16.5" thickBot="1" x14ac:dyDescent="0.3">
      <c r="A16" s="107"/>
      <c r="B16" s="2" t="s">
        <v>236</v>
      </c>
      <c r="C16" s="2">
        <v>500</v>
      </c>
      <c r="D16" s="15">
        <f t="shared" si="6"/>
        <v>20</v>
      </c>
      <c r="E16" s="15">
        <f t="shared" si="7"/>
        <v>520</v>
      </c>
      <c r="F16" s="15">
        <f t="shared" si="8"/>
        <v>52</v>
      </c>
      <c r="G16" s="15">
        <f t="shared" si="9"/>
        <v>572</v>
      </c>
      <c r="H16" s="15">
        <f t="shared" si="10"/>
        <v>171.6</v>
      </c>
      <c r="I16" s="15">
        <f t="shared" si="11"/>
        <v>743.6</v>
      </c>
    </row>
    <row r="17" spans="1:9" ht="16.5" thickBot="1" x14ac:dyDescent="0.3">
      <c r="A17" s="108"/>
      <c r="B17" s="2" t="s">
        <v>255</v>
      </c>
      <c r="C17" s="2"/>
      <c r="D17" s="15">
        <f t="shared" si="6"/>
        <v>0</v>
      </c>
      <c r="E17" s="15">
        <f t="shared" si="7"/>
        <v>0</v>
      </c>
      <c r="F17" s="15">
        <f t="shared" si="8"/>
        <v>0</v>
      </c>
      <c r="G17" s="15">
        <f t="shared" si="9"/>
        <v>0</v>
      </c>
      <c r="H17" s="15">
        <f t="shared" si="10"/>
        <v>0</v>
      </c>
      <c r="I17" s="15">
        <f t="shared" si="11"/>
        <v>0</v>
      </c>
    </row>
    <row r="18" spans="1:9" ht="16.5" thickBot="1" x14ac:dyDescent="0.3">
      <c r="A18" s="112" t="s">
        <v>59</v>
      </c>
      <c r="B18" s="2" t="s">
        <v>60</v>
      </c>
      <c r="C18" s="2">
        <v>20</v>
      </c>
      <c r="D18" s="15">
        <f t="shared" si="6"/>
        <v>0.8</v>
      </c>
      <c r="E18" s="15">
        <f t="shared" si="7"/>
        <v>20.8</v>
      </c>
      <c r="F18" s="15">
        <f t="shared" si="8"/>
        <v>2.08</v>
      </c>
      <c r="G18" s="15">
        <f t="shared" si="9"/>
        <v>22.880000000000003</v>
      </c>
      <c r="H18" s="15">
        <f t="shared" si="10"/>
        <v>6.8640000000000008</v>
      </c>
      <c r="I18" s="15">
        <f t="shared" si="11"/>
        <v>29.744000000000003</v>
      </c>
    </row>
    <row r="19" spans="1:9" ht="16.5" thickBot="1" x14ac:dyDescent="0.3">
      <c r="A19" s="113"/>
      <c r="B19" s="7" t="s">
        <v>63</v>
      </c>
      <c r="C19" s="2"/>
      <c r="D19" s="15">
        <f t="shared" si="6"/>
        <v>0</v>
      </c>
      <c r="E19" s="15">
        <f t="shared" si="7"/>
        <v>0</v>
      </c>
      <c r="F19" s="15">
        <f t="shared" si="8"/>
        <v>0</v>
      </c>
      <c r="G19" s="15">
        <f t="shared" si="9"/>
        <v>0</v>
      </c>
      <c r="H19" s="15">
        <f t="shared" si="10"/>
        <v>0</v>
      </c>
      <c r="I19" s="15">
        <f t="shared" si="11"/>
        <v>0</v>
      </c>
    </row>
    <row r="20" spans="1:9" ht="16.5" thickBot="1" x14ac:dyDescent="0.3">
      <c r="A20" s="114"/>
      <c r="B20" s="7" t="s">
        <v>287</v>
      </c>
      <c r="C20" s="2"/>
      <c r="D20" s="15">
        <f t="shared" si="6"/>
        <v>0</v>
      </c>
      <c r="E20" s="15">
        <f t="shared" si="7"/>
        <v>0</v>
      </c>
      <c r="F20" s="15">
        <f t="shared" si="8"/>
        <v>0</v>
      </c>
      <c r="G20" s="15">
        <f t="shared" si="9"/>
        <v>0</v>
      </c>
      <c r="H20" s="15">
        <f t="shared" si="10"/>
        <v>0</v>
      </c>
      <c r="I20" s="15">
        <f t="shared" si="11"/>
        <v>0</v>
      </c>
    </row>
    <row r="21" spans="1:9" ht="16.5" thickBot="1" x14ac:dyDescent="0.3">
      <c r="A21" s="109" t="s">
        <v>70</v>
      </c>
      <c r="B21" s="7" t="s">
        <v>73</v>
      </c>
      <c r="C21" s="2">
        <v>40</v>
      </c>
      <c r="D21" s="15">
        <f t="shared" si="6"/>
        <v>1.6</v>
      </c>
      <c r="E21" s="15">
        <f t="shared" si="7"/>
        <v>41.6</v>
      </c>
      <c r="F21" s="15">
        <f t="shared" si="8"/>
        <v>4.16</v>
      </c>
      <c r="G21" s="15">
        <f t="shared" si="9"/>
        <v>45.760000000000005</v>
      </c>
      <c r="H21" s="15">
        <f t="shared" si="10"/>
        <v>13.728000000000002</v>
      </c>
      <c r="I21" s="15">
        <f t="shared" si="11"/>
        <v>59.488000000000007</v>
      </c>
    </row>
    <row r="22" spans="1:9" ht="16.5" thickBot="1" x14ac:dyDescent="0.3">
      <c r="A22" s="110"/>
      <c r="B22" s="7" t="s">
        <v>74</v>
      </c>
      <c r="C22" s="2"/>
      <c r="D22" s="15">
        <f t="shared" ref="D22:D27" si="12">0.04*C22</f>
        <v>0</v>
      </c>
      <c r="E22" s="15">
        <f t="shared" ref="E22:E27" si="13">C22+D22</f>
        <v>0</v>
      </c>
      <c r="F22" s="15">
        <f t="shared" ref="F22:F27" si="14">0.1*E22</f>
        <v>0</v>
      </c>
      <c r="G22" s="15">
        <f t="shared" ref="G22:G27" si="15">E22+F22</f>
        <v>0</v>
      </c>
      <c r="H22" s="15">
        <f t="shared" ref="H22:H27" si="16">G22*0.3</f>
        <v>0</v>
      </c>
      <c r="I22" s="15">
        <f t="shared" ref="I22:I27" si="17">H22+G22</f>
        <v>0</v>
      </c>
    </row>
    <row r="23" spans="1:9" ht="16.5" thickBot="1" x14ac:dyDescent="0.3">
      <c r="A23" s="110"/>
      <c r="B23" s="7" t="s">
        <v>286</v>
      </c>
      <c r="C23" s="2"/>
      <c r="D23" s="15">
        <f t="shared" si="12"/>
        <v>0</v>
      </c>
      <c r="E23" s="15">
        <f t="shared" si="13"/>
        <v>0</v>
      </c>
      <c r="F23" s="15">
        <f t="shared" si="14"/>
        <v>0</v>
      </c>
      <c r="G23" s="15">
        <f t="shared" si="15"/>
        <v>0</v>
      </c>
      <c r="H23" s="15">
        <f t="shared" si="16"/>
        <v>0</v>
      </c>
      <c r="I23" s="15">
        <f t="shared" si="17"/>
        <v>0</v>
      </c>
    </row>
    <row r="24" spans="1:9" ht="16.5" thickBot="1" x14ac:dyDescent="0.3">
      <c r="A24" s="110"/>
      <c r="B24" s="7" t="s">
        <v>75</v>
      </c>
      <c r="C24" s="2"/>
      <c r="D24" s="15">
        <f t="shared" si="12"/>
        <v>0</v>
      </c>
      <c r="E24" s="15">
        <f t="shared" si="13"/>
        <v>0</v>
      </c>
      <c r="F24" s="15">
        <f t="shared" si="14"/>
        <v>0</v>
      </c>
      <c r="G24" s="15">
        <f t="shared" si="15"/>
        <v>0</v>
      </c>
      <c r="H24" s="15">
        <f t="shared" si="16"/>
        <v>0</v>
      </c>
      <c r="I24" s="15">
        <f t="shared" si="17"/>
        <v>0</v>
      </c>
    </row>
    <row r="25" spans="1:9" ht="16.5" thickBot="1" x14ac:dyDescent="0.3">
      <c r="A25" s="110"/>
      <c r="B25" s="7" t="s">
        <v>76</v>
      </c>
      <c r="C25" s="2"/>
      <c r="D25" s="15">
        <f t="shared" si="12"/>
        <v>0</v>
      </c>
      <c r="E25" s="15">
        <f t="shared" si="13"/>
        <v>0</v>
      </c>
      <c r="F25" s="15">
        <f t="shared" si="14"/>
        <v>0</v>
      </c>
      <c r="G25" s="15">
        <f t="shared" si="15"/>
        <v>0</v>
      </c>
      <c r="H25" s="15">
        <f t="shared" si="16"/>
        <v>0</v>
      </c>
      <c r="I25" s="15">
        <f t="shared" si="17"/>
        <v>0</v>
      </c>
    </row>
    <row r="26" spans="1:9" ht="16.5" thickBot="1" x14ac:dyDescent="0.3">
      <c r="A26" s="110"/>
      <c r="B26" s="7" t="s">
        <v>78</v>
      </c>
      <c r="C26" s="2"/>
      <c r="D26" s="15">
        <f t="shared" si="12"/>
        <v>0</v>
      </c>
      <c r="E26" s="15">
        <f t="shared" si="13"/>
        <v>0</v>
      </c>
      <c r="F26" s="15">
        <f t="shared" si="14"/>
        <v>0</v>
      </c>
      <c r="G26" s="15">
        <f t="shared" si="15"/>
        <v>0</v>
      </c>
      <c r="H26" s="15">
        <f t="shared" si="16"/>
        <v>0</v>
      </c>
      <c r="I26" s="15">
        <f t="shared" si="17"/>
        <v>0</v>
      </c>
    </row>
    <row r="27" spans="1:9" ht="16.5" thickBot="1" x14ac:dyDescent="0.3">
      <c r="A27" s="110"/>
      <c r="B27" s="7" t="s">
        <v>288</v>
      </c>
      <c r="C27" s="2"/>
      <c r="D27" s="15">
        <f t="shared" si="12"/>
        <v>0</v>
      </c>
      <c r="E27" s="15">
        <f t="shared" si="13"/>
        <v>0</v>
      </c>
      <c r="F27" s="15">
        <f t="shared" si="14"/>
        <v>0</v>
      </c>
      <c r="G27" s="15">
        <f t="shared" si="15"/>
        <v>0</v>
      </c>
      <c r="H27" s="15">
        <f t="shared" si="16"/>
        <v>0</v>
      </c>
      <c r="I27" s="15">
        <f t="shared" si="17"/>
        <v>0</v>
      </c>
    </row>
    <row r="28" spans="1:9" ht="16.5" thickBot="1" x14ac:dyDescent="0.3">
      <c r="A28" s="110"/>
      <c r="B28" s="7" t="s">
        <v>63</v>
      </c>
      <c r="C28" s="2"/>
      <c r="D28" s="15">
        <f>0.04*C28</f>
        <v>0</v>
      </c>
      <c r="E28" s="15">
        <f>C28+D28</f>
        <v>0</v>
      </c>
      <c r="F28" s="15">
        <f>0.1*E28</f>
        <v>0</v>
      </c>
      <c r="G28" s="15">
        <f>E28+F28</f>
        <v>0</v>
      </c>
      <c r="H28" s="15">
        <f>G28*0.3</f>
        <v>0</v>
      </c>
      <c r="I28" s="15">
        <f>H28+G28</f>
        <v>0</v>
      </c>
    </row>
    <row r="29" spans="1:9" ht="16.5" thickBot="1" x14ac:dyDescent="0.3">
      <c r="A29" s="110"/>
      <c r="B29" s="7" t="s">
        <v>76</v>
      </c>
      <c r="C29" s="2"/>
      <c r="D29" s="15">
        <f>0.04*C29</f>
        <v>0</v>
      </c>
      <c r="E29" s="15">
        <f>C29+D29</f>
        <v>0</v>
      </c>
      <c r="F29" s="15">
        <f>0.1*E29</f>
        <v>0</v>
      </c>
      <c r="G29" s="15">
        <f>E29+F29</f>
        <v>0</v>
      </c>
      <c r="H29" s="15">
        <f>G29*0.3</f>
        <v>0</v>
      </c>
      <c r="I29" s="15">
        <f>H29+G29</f>
        <v>0</v>
      </c>
    </row>
    <row r="30" spans="1:9" ht="30.75" thickBot="1" x14ac:dyDescent="0.3">
      <c r="A30" s="110"/>
      <c r="B30" s="7" t="s">
        <v>84</v>
      </c>
      <c r="C30" s="2"/>
      <c r="D30" s="15">
        <f>0.04*C30</f>
        <v>0</v>
      </c>
      <c r="E30" s="15">
        <f>C30+D30</f>
        <v>0</v>
      </c>
      <c r="F30" s="15">
        <f>0.1*E30</f>
        <v>0</v>
      </c>
      <c r="G30" s="15">
        <f>E30+F30</f>
        <v>0</v>
      </c>
      <c r="H30" s="15">
        <f>G30*0.3</f>
        <v>0</v>
      </c>
      <c r="I30" s="15">
        <f>H30+G30</f>
        <v>0</v>
      </c>
    </row>
    <row r="31" spans="1:9" ht="16.5" thickBot="1" x14ac:dyDescent="0.3">
      <c r="A31" s="111"/>
      <c r="B31" s="2" t="s">
        <v>189</v>
      </c>
      <c r="C31" s="2">
        <f>350</f>
        <v>350</v>
      </c>
      <c r="D31" s="15">
        <f>0.04*C31</f>
        <v>14</v>
      </c>
      <c r="E31" s="15">
        <f>C31+D31</f>
        <v>364</v>
      </c>
      <c r="F31" s="15">
        <f>0.1*E31</f>
        <v>36.4</v>
      </c>
      <c r="G31" s="15">
        <f>E31+F31</f>
        <v>400.4</v>
      </c>
      <c r="H31" s="15">
        <f>G31*0.3</f>
        <v>120.11999999999999</v>
      </c>
      <c r="I31" s="15">
        <f>H31+G31</f>
        <v>520.52</v>
      </c>
    </row>
  </sheetData>
  <mergeCells count="6">
    <mergeCell ref="A2:A3"/>
    <mergeCell ref="A4:A9"/>
    <mergeCell ref="A14:A17"/>
    <mergeCell ref="A21:A31"/>
    <mergeCell ref="A18:A20"/>
    <mergeCell ref="A11:A1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BOQ</vt:lpstr>
      <vt:lpstr> Lighting AVG Length</vt:lpstr>
      <vt:lpstr>E Signal AVG Length</vt:lpstr>
      <vt:lpstr>N Sockets AVG Length</vt:lpstr>
      <vt:lpstr>P Sockets AVG Length</vt:lpstr>
      <vt:lpstr>DC&amp;H AVG Length</vt:lpstr>
      <vt:lpstr>Fire alarm AVG Length</vt:lpstr>
      <vt:lpstr>Telephone&amp;Data AVG Length</vt:lpstr>
      <vt:lpstr>CAM AVG Length</vt:lpstr>
      <vt:lpstr>Cable Studying Sheet</vt:lpstr>
      <vt:lpstr>Cable Trunk Studying Sheet</vt:lpstr>
      <vt:lpstr> Outlets Studying sheet</vt:lpstr>
      <vt:lpstr>Panels Studying sheet</vt:lpstr>
      <vt:lpstr>Device Studying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2023-04-26T14:46:12Z</dcterms:modified>
</cp:coreProperties>
</file>