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530847ce2141707/Documents/Files and Docs/Old work files/Family Investments 2016-2018/financials history/India/2017/"/>
    </mc:Choice>
  </mc:AlternateContent>
  <xr:revisionPtr revIDLastSave="0" documentId="11_7F2C3A69809A3B2F8A2F61217F8983750849F127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Holdings Ratio" sheetId="8" r:id="rId1"/>
    <sheet name="Cash Movement" sheetId="2" r:id="rId2"/>
    <sheet name="Pharma Sector" sheetId="13" r:id="rId3"/>
    <sheet name="Energy Sector" sheetId="14" r:id="rId4"/>
    <sheet name="Invested Stocks" sheetId="4" r:id="rId5"/>
    <sheet name="Sold Stocks" sheetId="6" r:id="rId6"/>
    <sheet name="Mutual Fund" sheetId="5" r:id="rId7"/>
    <sheet name="Dividends" sheetId="7" r:id="rId8"/>
    <sheet name="P&amp;L Monthly" sheetId="12" r:id="rId9"/>
    <sheet name="P&amp;L Quarter" sheetId="11" r:id="rId10"/>
    <sheet name="P&amp;L Yearly" sheetId="17" r:id="rId11"/>
    <sheet name="P&amp;L Consolidated" sheetId="3" r:id="rId12"/>
    <sheet name="Bank Statement" sheetId="15" r:id="rId13"/>
    <sheet name="Account Reconcilation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'Cash Movement'!#REF!</definedName>
    <definedName name="_xlnm._FilterDatabase" localSheetId="7" hidden="1">Dividends!$A$3:$G$16</definedName>
    <definedName name="_xlnm._FilterDatabase" localSheetId="3" hidden="1">'Energy Sector'!$A$3:$H$3</definedName>
    <definedName name="_xlnm._FilterDatabase" localSheetId="4" hidden="1">'Invested Stocks'!$A$3:$P$3</definedName>
    <definedName name="_xlnm._FilterDatabase" localSheetId="2" hidden="1">'Pharma Sector'!$A$3:$H$3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H7" i="15"/>
  <c r="C221" i="2"/>
  <c r="C220" i="2"/>
  <c r="C223" i="2"/>
  <c r="F54" i="6" l="1"/>
  <c r="H54" i="6"/>
  <c r="I54" i="6" s="1"/>
  <c r="F55" i="6"/>
  <c r="H55" i="6"/>
  <c r="I55" i="6" s="1"/>
  <c r="F56" i="6"/>
  <c r="H56" i="6"/>
  <c r="I56" i="6" s="1"/>
  <c r="D35" i="4"/>
  <c r="G35" i="4"/>
  <c r="H35" i="4" s="1"/>
  <c r="C198" i="2"/>
  <c r="C217" i="2"/>
  <c r="G223" i="2"/>
  <c r="G222" i="2"/>
  <c r="G221" i="2" l="1"/>
  <c r="G220" i="2"/>
  <c r="G27" i="4" l="1"/>
  <c r="H27" i="4" s="1"/>
  <c r="D27" i="4"/>
  <c r="B12" i="12" l="1"/>
  <c r="D40" i="7" l="1"/>
  <c r="C215" i="2"/>
  <c r="C201" i="2"/>
  <c r="C199" i="2"/>
  <c r="G217" i="2"/>
  <c r="G218" i="2" l="1"/>
  <c r="H53" i="6"/>
  <c r="I53" i="6" s="1"/>
  <c r="F53" i="6"/>
  <c r="G214" i="2"/>
  <c r="G215" i="2"/>
  <c r="G216" i="2"/>
  <c r="H52" i="6"/>
  <c r="I52" i="6" s="1"/>
  <c r="F52" i="6"/>
  <c r="H51" i="6"/>
  <c r="I51" i="6" s="1"/>
  <c r="F51" i="6"/>
  <c r="E16" i="14"/>
  <c r="G11" i="14"/>
  <c r="H11" i="14" s="1"/>
  <c r="D11" i="14"/>
  <c r="G15" i="14"/>
  <c r="H15" i="14" s="1"/>
  <c r="D15" i="14"/>
  <c r="G6" i="14"/>
  <c r="H6" i="14" s="1"/>
  <c r="D6" i="14"/>
  <c r="G8" i="14"/>
  <c r="H8" i="14" s="1"/>
  <c r="D8" i="14"/>
  <c r="G10" i="14"/>
  <c r="H10" i="14" s="1"/>
  <c r="D10" i="14"/>
  <c r="G9" i="14"/>
  <c r="H9" i="14" s="1"/>
  <c r="D9" i="14"/>
  <c r="G12" i="14"/>
  <c r="H12" i="14" s="1"/>
  <c r="D12" i="14"/>
  <c r="G14" i="14"/>
  <c r="H14" i="14" s="1"/>
  <c r="D14" i="14"/>
  <c r="G4" i="14"/>
  <c r="H4" i="14" s="1"/>
  <c r="D4" i="14"/>
  <c r="G5" i="14"/>
  <c r="H5" i="14" s="1"/>
  <c r="D5" i="14"/>
  <c r="G7" i="14"/>
  <c r="H7" i="14" s="1"/>
  <c r="D7" i="14"/>
  <c r="G13" i="14"/>
  <c r="H13" i="14" s="1"/>
  <c r="D13" i="14"/>
  <c r="G201" i="2"/>
  <c r="G203" i="2"/>
  <c r="G204" i="2"/>
  <c r="G205" i="2"/>
  <c r="G206" i="2"/>
  <c r="G207" i="2"/>
  <c r="G208" i="2"/>
  <c r="G209" i="2"/>
  <c r="G210" i="2"/>
  <c r="G211" i="2"/>
  <c r="G212" i="2"/>
  <c r="G213" i="2"/>
  <c r="G202" i="2"/>
  <c r="G32" i="4"/>
  <c r="H32" i="4" s="1"/>
  <c r="G33" i="4"/>
  <c r="H33" i="4" s="1"/>
  <c r="G34" i="4"/>
  <c r="H34" i="4" s="1"/>
  <c r="D32" i="4"/>
  <c r="D33" i="4"/>
  <c r="D34" i="4"/>
  <c r="G200" i="2"/>
  <c r="G16" i="14" l="1"/>
  <c r="G30" i="4"/>
  <c r="H30" i="4" s="1"/>
  <c r="G31" i="4"/>
  <c r="H31" i="4" s="1"/>
  <c r="D30" i="4"/>
  <c r="D31" i="4"/>
  <c r="H16" i="14" l="1"/>
  <c r="B6" i="3"/>
  <c r="G19" i="14"/>
  <c r="B9" i="11" l="1"/>
  <c r="B14" i="11"/>
  <c r="B16" i="12"/>
  <c r="H48" i="6"/>
  <c r="I48" i="6" s="1"/>
  <c r="H49" i="6"/>
  <c r="I49" i="6" s="1"/>
  <c r="H50" i="6"/>
  <c r="I50" i="6" s="1"/>
  <c r="F48" i="6"/>
  <c r="F49" i="6"/>
  <c r="F50" i="6"/>
  <c r="C194" i="2"/>
  <c r="G194" i="2" l="1"/>
  <c r="G199" i="2"/>
  <c r="G198" i="2"/>
  <c r="G197" i="2"/>
  <c r="G195" i="2"/>
  <c r="B15" i="12" l="1"/>
  <c r="B17" i="12" s="1"/>
  <c r="F12" i="12"/>
  <c r="D39" i="7" l="1"/>
  <c r="G5" i="13"/>
  <c r="G28" i="4" l="1"/>
  <c r="H28" i="4" s="1"/>
  <c r="D28" i="4"/>
  <c r="D29" i="4"/>
  <c r="G29" i="4"/>
  <c r="H29" i="4" s="1"/>
  <c r="C168" i="2" l="1"/>
  <c r="E193" i="2"/>
  <c r="G190" i="2"/>
  <c r="G191" i="2"/>
  <c r="G192" i="2"/>
  <c r="C187" i="2"/>
  <c r="C186" i="2"/>
  <c r="C185" i="2"/>
  <c r="F10" i="12" l="1"/>
  <c r="F7" i="12"/>
  <c r="F5" i="12"/>
  <c r="F4" i="12" l="1"/>
  <c r="F8" i="12" s="1"/>
  <c r="G189" i="2" l="1"/>
  <c r="H46" i="6" l="1"/>
  <c r="I46" i="6" s="1"/>
  <c r="H47" i="6"/>
  <c r="I47" i="6"/>
  <c r="F46" i="6"/>
  <c r="F47" i="6"/>
  <c r="F45" i="6"/>
  <c r="H45" i="6"/>
  <c r="I45" i="6" s="1"/>
  <c r="G185" i="2"/>
  <c r="G186" i="2"/>
  <c r="G187" i="2"/>
  <c r="G188" i="2"/>
  <c r="G13" i="13" l="1"/>
  <c r="H13" i="13" s="1"/>
  <c r="D13" i="13"/>
  <c r="G12" i="13"/>
  <c r="H12" i="13" s="1"/>
  <c r="D12" i="13"/>
  <c r="G15" i="13"/>
  <c r="H15" i="13" s="1"/>
  <c r="D15" i="13"/>
  <c r="G14" i="13"/>
  <c r="H14" i="13" s="1"/>
  <c r="D14" i="13"/>
  <c r="G16" i="13"/>
  <c r="H16" i="13" s="1"/>
  <c r="D16" i="13"/>
  <c r="G9" i="13"/>
  <c r="H9" i="13" s="1"/>
  <c r="D9" i="13"/>
  <c r="G11" i="13"/>
  <c r="H11" i="13" s="1"/>
  <c r="D11" i="13"/>
  <c r="G8" i="13"/>
  <c r="H8" i="13" s="1"/>
  <c r="D8" i="13"/>
  <c r="G179" i="2"/>
  <c r="G181" i="2"/>
  <c r="G182" i="2"/>
  <c r="G183" i="2"/>
  <c r="G184" i="2"/>
  <c r="G10" i="13" l="1"/>
  <c r="H10" i="13" s="1"/>
  <c r="G7" i="13"/>
  <c r="H7" i="13" s="1"/>
  <c r="G6" i="13"/>
  <c r="H6" i="13" s="1"/>
  <c r="D5" i="13"/>
  <c r="D6" i="13"/>
  <c r="D4" i="13"/>
  <c r="E17" i="13"/>
  <c r="H5" i="13"/>
  <c r="D7" i="13"/>
  <c r="G4" i="13"/>
  <c r="H4" i="13" s="1"/>
  <c r="D10" i="13"/>
  <c r="G170" i="2"/>
  <c r="G169" i="2"/>
  <c r="G171" i="2"/>
  <c r="G172" i="2"/>
  <c r="G173" i="2"/>
  <c r="G174" i="2"/>
  <c r="G175" i="2"/>
  <c r="G176" i="2"/>
  <c r="G177" i="2"/>
  <c r="G178" i="2"/>
  <c r="G180" i="2"/>
  <c r="G17" i="13" l="1"/>
  <c r="B5" i="3" s="1"/>
  <c r="C163" i="2"/>
  <c r="H17" i="13" l="1"/>
  <c r="G20" i="13"/>
  <c r="G15" i="4" l="1"/>
  <c r="E26" i="4"/>
  <c r="C26" i="4"/>
  <c r="G168" i="2"/>
  <c r="G26" i="4" l="1"/>
  <c r="H26" i="4" s="1"/>
  <c r="D26" i="4"/>
  <c r="F11" i="12"/>
  <c r="F16" i="12"/>
  <c r="D38" i="7"/>
  <c r="D35" i="7"/>
  <c r="D36" i="7"/>
  <c r="D37" i="7"/>
  <c r="C19" i="4"/>
  <c r="E19" i="4"/>
  <c r="C18" i="4"/>
  <c r="E18" i="4"/>
  <c r="D25" i="4"/>
  <c r="G25" i="4"/>
  <c r="H25" i="4" s="1"/>
  <c r="F42" i="6"/>
  <c r="F43" i="6"/>
  <c r="F44" i="6"/>
  <c r="H41" i="6"/>
  <c r="I41" i="6" s="1"/>
  <c r="H42" i="6"/>
  <c r="I42" i="6" s="1"/>
  <c r="H43" i="6"/>
  <c r="I43" i="6" s="1"/>
  <c r="H44" i="6"/>
  <c r="I44" i="6" s="1"/>
  <c r="F41" i="6"/>
  <c r="E17" i="4"/>
  <c r="C17" i="4"/>
  <c r="G163" i="2"/>
  <c r="G166" i="2"/>
  <c r="G165" i="2"/>
  <c r="G164" i="2"/>
  <c r="C158" i="2"/>
  <c r="G158" i="2" s="1"/>
  <c r="C155" i="2"/>
  <c r="G155" i="2" s="1"/>
  <c r="G161" i="2"/>
  <c r="G160" i="2"/>
  <c r="G159" i="2"/>
  <c r="D19" i="4" l="1"/>
  <c r="F15" i="12"/>
  <c r="G19" i="4"/>
  <c r="H19" i="4" s="1"/>
  <c r="F13" i="12"/>
  <c r="G18" i="4"/>
  <c r="H18" i="4" s="1"/>
  <c r="D18" i="4"/>
  <c r="G17" i="4"/>
  <c r="H17" i="4" s="1"/>
  <c r="D17" i="4"/>
  <c r="J12" i="12"/>
  <c r="B12" i="11" s="1"/>
  <c r="J10" i="12"/>
  <c r="J7" i="12"/>
  <c r="J4" i="12"/>
  <c r="G13" i="12" l="1"/>
  <c r="D33" i="7"/>
  <c r="D34" i="7"/>
  <c r="D31" i="7"/>
  <c r="D32" i="7"/>
  <c r="C153" i="2"/>
  <c r="G153" i="2" s="1"/>
  <c r="H40" i="6"/>
  <c r="I40" i="6" s="1"/>
  <c r="H39" i="6"/>
  <c r="I39" i="6" s="1"/>
  <c r="F40" i="6"/>
  <c r="H38" i="6"/>
  <c r="I38" i="6" s="1"/>
  <c r="H37" i="6"/>
  <c r="I37" i="6" s="1"/>
  <c r="H36" i="6"/>
  <c r="I36" i="6" s="1"/>
  <c r="H35" i="6"/>
  <c r="I35" i="6" s="1"/>
  <c r="F34" i="6"/>
  <c r="F35" i="6"/>
  <c r="F36" i="6"/>
  <c r="F37" i="6"/>
  <c r="F38" i="6"/>
  <c r="F39" i="6"/>
  <c r="G24" i="4"/>
  <c r="H24" i="4" s="1"/>
  <c r="D24" i="4"/>
  <c r="C139" i="2"/>
  <c r="C150" i="2"/>
  <c r="G150" i="2" s="1"/>
  <c r="C147" i="2"/>
  <c r="G147" i="2" s="1"/>
  <c r="C146" i="2"/>
  <c r="G146" i="2" s="1"/>
  <c r="C144" i="2"/>
  <c r="G144" i="2" s="1"/>
  <c r="C143" i="2"/>
  <c r="G143" i="2" s="1"/>
  <c r="G152" i="2"/>
  <c r="G151" i="2"/>
  <c r="G148" i="2"/>
  <c r="G142" i="2"/>
  <c r="G141" i="2"/>
  <c r="F17" i="12" l="1"/>
  <c r="R19" i="12"/>
  <c r="R10" i="12"/>
  <c r="R11" i="12" s="1"/>
  <c r="N19" i="12"/>
  <c r="J19" i="12"/>
  <c r="B19" i="11" s="1"/>
  <c r="V19" i="12"/>
  <c r="C132" i="2"/>
  <c r="G132" i="2" s="1"/>
  <c r="J16" i="12"/>
  <c r="B16" i="11" s="1"/>
  <c r="D30" i="7"/>
  <c r="G22" i="4"/>
  <c r="D23" i="4"/>
  <c r="D22" i="4"/>
  <c r="G23" i="4"/>
  <c r="H23" i="4" s="1"/>
  <c r="H34" i="6"/>
  <c r="E135" i="2"/>
  <c r="E134" i="2"/>
  <c r="G139" i="2"/>
  <c r="G140" i="2"/>
  <c r="G138" i="2"/>
  <c r="G137" i="2"/>
  <c r="G136" i="2"/>
  <c r="C133" i="2"/>
  <c r="C118" i="2"/>
  <c r="G118" i="2" s="1"/>
  <c r="C115" i="2"/>
  <c r="G115" i="2" s="1"/>
  <c r="H30" i="6"/>
  <c r="N12" i="12"/>
  <c r="D28" i="7"/>
  <c r="D29" i="7"/>
  <c r="C8" i="4"/>
  <c r="E8" i="4"/>
  <c r="C9" i="4"/>
  <c r="E9" i="4"/>
  <c r="G10" i="4"/>
  <c r="H10" i="4" s="1"/>
  <c r="G11" i="4"/>
  <c r="H11" i="4" s="1"/>
  <c r="D10" i="4"/>
  <c r="D11" i="4"/>
  <c r="H32" i="6"/>
  <c r="I32" i="6" s="1"/>
  <c r="H33" i="6"/>
  <c r="I33" i="6" s="1"/>
  <c r="F32" i="6"/>
  <c r="F33" i="6"/>
  <c r="H31" i="6"/>
  <c r="I31" i="6" s="1"/>
  <c r="F31" i="6"/>
  <c r="G127" i="2"/>
  <c r="G128" i="2"/>
  <c r="G129" i="2"/>
  <c r="G130" i="2"/>
  <c r="G131" i="2"/>
  <c r="G124" i="2"/>
  <c r="G126" i="2"/>
  <c r="C117" i="2"/>
  <c r="G117" i="2" s="1"/>
  <c r="G119" i="2"/>
  <c r="G120" i="2"/>
  <c r="G121" i="2"/>
  <c r="G122" i="2"/>
  <c r="G116" i="2"/>
  <c r="D23" i="6"/>
  <c r="F9" i="11"/>
  <c r="B9" i="17" s="1"/>
  <c r="F14" i="11"/>
  <c r="V10" i="12"/>
  <c r="V11" i="12" s="1"/>
  <c r="V7" i="12"/>
  <c r="V4" i="12"/>
  <c r="R7" i="12"/>
  <c r="R4" i="12"/>
  <c r="R16" i="12"/>
  <c r="R15" i="12"/>
  <c r="R12" i="12"/>
  <c r="N16" i="12"/>
  <c r="G16" i="3"/>
  <c r="I16" i="3" s="1"/>
  <c r="F30" i="6"/>
  <c r="F29" i="6"/>
  <c r="H29" i="6"/>
  <c r="I29" i="6" s="1"/>
  <c r="I30" i="6"/>
  <c r="G114" i="2"/>
  <c r="G113" i="2"/>
  <c r="G112" i="2"/>
  <c r="C16" i="4"/>
  <c r="E16" i="4"/>
  <c r="D7" i="4"/>
  <c r="G7" i="4"/>
  <c r="H7" i="4" s="1"/>
  <c r="G106" i="2"/>
  <c r="C109" i="2"/>
  <c r="G109" i="2" s="1"/>
  <c r="J8" i="2"/>
  <c r="G110" i="2"/>
  <c r="G107" i="2"/>
  <c r="G105" i="2"/>
  <c r="B17" i="3"/>
  <c r="D27" i="7"/>
  <c r="G103" i="2"/>
  <c r="C101" i="2"/>
  <c r="G101" i="2" s="1"/>
  <c r="D26" i="7"/>
  <c r="D25" i="7"/>
  <c r="D24" i="7"/>
  <c r="E6" i="6"/>
  <c r="G6" i="6"/>
  <c r="F28" i="6"/>
  <c r="H28" i="6"/>
  <c r="I28" i="6" s="1"/>
  <c r="G100" i="2"/>
  <c r="G99" i="2"/>
  <c r="E98" i="2"/>
  <c r="E91" i="2"/>
  <c r="E97" i="2"/>
  <c r="E96" i="2"/>
  <c r="G95" i="2"/>
  <c r="C94" i="2"/>
  <c r="G94" i="2" s="1"/>
  <c r="C93" i="2"/>
  <c r="G93" i="2" s="1"/>
  <c r="V12" i="12"/>
  <c r="D23" i="7"/>
  <c r="F27" i="6"/>
  <c r="H27" i="6"/>
  <c r="I27" i="6"/>
  <c r="D26" i="6"/>
  <c r="F26" i="6"/>
  <c r="H26" i="6"/>
  <c r="I26" i="6" s="1"/>
  <c r="H25" i="6"/>
  <c r="I25" i="6" s="1"/>
  <c r="F25" i="6"/>
  <c r="C89" i="2"/>
  <c r="G89" i="2" s="1"/>
  <c r="G90" i="2"/>
  <c r="C86" i="2"/>
  <c r="C88" i="2"/>
  <c r="D22" i="7"/>
  <c r="D21" i="7"/>
  <c r="C83" i="2"/>
  <c r="G83" i="2" s="1"/>
  <c r="H24" i="6"/>
  <c r="I24" i="6" s="1"/>
  <c r="F24" i="6"/>
  <c r="G87" i="2"/>
  <c r="G86" i="2"/>
  <c r="G85" i="2"/>
  <c r="U8" i="11"/>
  <c r="U16" i="11"/>
  <c r="C13" i="6"/>
  <c r="F13" i="6" s="1"/>
  <c r="H23" i="6"/>
  <c r="I23" i="6" s="1"/>
  <c r="F23" i="6"/>
  <c r="D20" i="7"/>
  <c r="G84" i="2"/>
  <c r="G82" i="2"/>
  <c r="G81" i="2"/>
  <c r="G79" i="2"/>
  <c r="G78" i="2"/>
  <c r="G77" i="2"/>
  <c r="P16" i="11"/>
  <c r="P11" i="11"/>
  <c r="P8" i="11"/>
  <c r="K8" i="11"/>
  <c r="G76" i="2"/>
  <c r="H22" i="6"/>
  <c r="I22" i="6" s="1"/>
  <c r="F22" i="6"/>
  <c r="D19" i="7"/>
  <c r="D18" i="7"/>
  <c r="H20" i="6"/>
  <c r="I20" i="6" s="1"/>
  <c r="H21" i="6"/>
  <c r="I21" i="6" s="1"/>
  <c r="F20" i="6"/>
  <c r="F21" i="6"/>
  <c r="G73" i="2"/>
  <c r="G72" i="2"/>
  <c r="G71" i="2"/>
  <c r="G70" i="2"/>
  <c r="F19" i="6"/>
  <c r="H19" i="6"/>
  <c r="I19" i="6" s="1"/>
  <c r="E17" i="7"/>
  <c r="K12" i="11" s="1"/>
  <c r="G69" i="2"/>
  <c r="G67" i="2"/>
  <c r="H18" i="6"/>
  <c r="I18" i="6" s="1"/>
  <c r="F18" i="6"/>
  <c r="D18" i="6"/>
  <c r="H17" i="6"/>
  <c r="I17" i="6" s="1"/>
  <c r="F17" i="6"/>
  <c r="D17" i="6"/>
  <c r="G66" i="2"/>
  <c r="G65" i="2"/>
  <c r="G64" i="2"/>
  <c r="G16" i="6"/>
  <c r="F16" i="6" s="1"/>
  <c r="D16" i="6"/>
  <c r="D16" i="7"/>
  <c r="D15" i="7"/>
  <c r="D14" i="7"/>
  <c r="D13" i="7"/>
  <c r="E12" i="7"/>
  <c r="J16" i="7"/>
  <c r="E11" i="7"/>
  <c r="P12" i="11" s="1"/>
  <c r="D10" i="7"/>
  <c r="D9" i="7"/>
  <c r="D8" i="7"/>
  <c r="D7" i="7"/>
  <c r="D6" i="7"/>
  <c r="D5" i="7"/>
  <c r="E4" i="7"/>
  <c r="E5" i="5"/>
  <c r="G5" i="5" s="1"/>
  <c r="H5" i="5" s="1"/>
  <c r="E4" i="5"/>
  <c r="G4" i="5" s="1"/>
  <c r="H15" i="6"/>
  <c r="I15" i="6" s="1"/>
  <c r="F15" i="6"/>
  <c r="D15" i="6"/>
  <c r="H14" i="6"/>
  <c r="I14" i="6" s="1"/>
  <c r="F14" i="6"/>
  <c r="H13" i="6"/>
  <c r="I13" i="6" s="1"/>
  <c r="G12" i="6"/>
  <c r="H12" i="6" s="1"/>
  <c r="I12" i="6" s="1"/>
  <c r="D12" i="6"/>
  <c r="H11" i="6"/>
  <c r="I11" i="6" s="1"/>
  <c r="H10" i="6"/>
  <c r="I10" i="6" s="1"/>
  <c r="F10" i="6"/>
  <c r="D10" i="6"/>
  <c r="H9" i="6"/>
  <c r="I9" i="6" s="1"/>
  <c r="F9" i="6"/>
  <c r="D9" i="6"/>
  <c r="H8" i="6"/>
  <c r="I8" i="6" s="1"/>
  <c r="F8" i="6"/>
  <c r="D8" i="6"/>
  <c r="H7" i="6"/>
  <c r="I7" i="6" s="1"/>
  <c r="F7" i="6"/>
  <c r="D7" i="6"/>
  <c r="G5" i="6"/>
  <c r="E5" i="6"/>
  <c r="G4" i="6"/>
  <c r="E4" i="6"/>
  <c r="H15" i="4"/>
  <c r="D15" i="4"/>
  <c r="E14" i="4"/>
  <c r="C14" i="4"/>
  <c r="E6" i="4"/>
  <c r="C6" i="4"/>
  <c r="E5" i="4"/>
  <c r="C5" i="4"/>
  <c r="C17" i="7" s="1"/>
  <c r="H226" i="2"/>
  <c r="F226" i="2"/>
  <c r="G63" i="2"/>
  <c r="G62" i="2"/>
  <c r="G61" i="2"/>
  <c r="G60" i="2"/>
  <c r="G59" i="2"/>
  <c r="G58" i="2"/>
  <c r="G57" i="2"/>
  <c r="G56" i="2"/>
  <c r="G55" i="2"/>
  <c r="G54" i="2"/>
  <c r="G52" i="2"/>
  <c r="G50" i="2"/>
  <c r="G49" i="2"/>
  <c r="G48" i="2"/>
  <c r="G45" i="2"/>
  <c r="G43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U12" i="11"/>
  <c r="G4" i="4"/>
  <c r="H4" i="4" s="1"/>
  <c r="G23" i="2"/>
  <c r="D4" i="4"/>
  <c r="C3" i="8"/>
  <c r="N7" i="12"/>
  <c r="N4" i="12"/>
  <c r="F19" i="11" l="1"/>
  <c r="B19" i="17" s="1"/>
  <c r="H22" i="4"/>
  <c r="G37" i="4"/>
  <c r="C4" i="8"/>
  <c r="P13" i="11"/>
  <c r="Q13" i="11" s="1"/>
  <c r="F4" i="11"/>
  <c r="G14" i="4"/>
  <c r="F18" i="12"/>
  <c r="R17" i="12"/>
  <c r="N8" i="12"/>
  <c r="G14" i="3"/>
  <c r="I14" i="3" s="1"/>
  <c r="F7" i="11"/>
  <c r="F16" i="11"/>
  <c r="G17" i="3" s="1"/>
  <c r="I17" i="3" s="1"/>
  <c r="R8" i="12"/>
  <c r="R13" i="12" s="1"/>
  <c r="S13" i="12" s="1"/>
  <c r="V8" i="12"/>
  <c r="V13" i="12" s="1"/>
  <c r="W13" i="12" s="1"/>
  <c r="G9" i="3"/>
  <c r="I9" i="3" s="1"/>
  <c r="C108" i="2"/>
  <c r="C226" i="2" s="1"/>
  <c r="J226" i="2" s="1"/>
  <c r="C6" i="8" s="1"/>
  <c r="J15" i="12"/>
  <c r="B15" i="11" s="1"/>
  <c r="H6" i="6"/>
  <c r="I6" i="6" s="1"/>
  <c r="H4" i="5"/>
  <c r="H7" i="5" s="1"/>
  <c r="B7" i="3"/>
  <c r="G7" i="5"/>
  <c r="F12" i="11"/>
  <c r="J8" i="12"/>
  <c r="E7" i="5"/>
  <c r="K15" i="11"/>
  <c r="K17" i="11" s="1"/>
  <c r="D17" i="7"/>
  <c r="J11" i="7" s="1"/>
  <c r="K11" i="7" s="1"/>
  <c r="D9" i="4"/>
  <c r="G8" i="4"/>
  <c r="H8" i="4" s="1"/>
  <c r="E20" i="4"/>
  <c r="E37" i="4" s="1"/>
  <c r="E88" i="2"/>
  <c r="E226" i="2" s="1"/>
  <c r="H4" i="6"/>
  <c r="E58" i="6"/>
  <c r="N10" i="12"/>
  <c r="F10" i="11" s="1"/>
  <c r="D13" i="6"/>
  <c r="I34" i="6"/>
  <c r="I4" i="6"/>
  <c r="J11" i="12"/>
  <c r="D5" i="4"/>
  <c r="G9" i="4"/>
  <c r="H9" i="4" s="1"/>
  <c r="G16" i="4"/>
  <c r="H16" i="4" s="1"/>
  <c r="G5" i="4"/>
  <c r="H5" i="4" s="1"/>
  <c r="E12" i="4"/>
  <c r="C5" i="8"/>
  <c r="G6" i="4"/>
  <c r="H6" i="4" s="1"/>
  <c r="D16" i="4"/>
  <c r="D8" i="4"/>
  <c r="D6" i="4"/>
  <c r="D14" i="4"/>
  <c r="N15" i="12"/>
  <c r="N17" i="12" s="1"/>
  <c r="U15" i="11"/>
  <c r="U17" i="11" s="1"/>
  <c r="V15" i="12"/>
  <c r="V17" i="12" s="1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G226" i="2"/>
  <c r="P15" i="11"/>
  <c r="P17" i="11" s="1"/>
  <c r="B15" i="3"/>
  <c r="E42" i="7"/>
  <c r="B12" i="3"/>
  <c r="H16" i="6"/>
  <c r="U10" i="11" l="1"/>
  <c r="U11" i="11" s="1"/>
  <c r="U13" i="11" s="1"/>
  <c r="V13" i="11" s="1"/>
  <c r="B15" i="17"/>
  <c r="P18" i="11"/>
  <c r="G12" i="3"/>
  <c r="B12" i="17"/>
  <c r="B16" i="17"/>
  <c r="B18" i="3"/>
  <c r="F8" i="11"/>
  <c r="C7" i="8"/>
  <c r="D4" i="8" s="1"/>
  <c r="E4" i="8" s="1"/>
  <c r="J10" i="7"/>
  <c r="K10" i="7" s="1"/>
  <c r="R18" i="12"/>
  <c r="R20" i="12" s="1"/>
  <c r="S20" i="12" s="1"/>
  <c r="G18" i="12"/>
  <c r="F20" i="12"/>
  <c r="V18" i="12"/>
  <c r="V20" i="12" s="1"/>
  <c r="W20" i="12" s="1"/>
  <c r="J17" i="12"/>
  <c r="B17" i="11" s="1"/>
  <c r="B17" i="17" s="1"/>
  <c r="J14" i="7"/>
  <c r="K14" i="7" s="1"/>
  <c r="F15" i="11"/>
  <c r="F17" i="11" s="1"/>
  <c r="J6" i="7"/>
  <c r="K6" i="7" s="1"/>
  <c r="J7" i="7"/>
  <c r="K7" i="7" s="1"/>
  <c r="J13" i="7"/>
  <c r="K13" i="7" s="1"/>
  <c r="J12" i="7"/>
  <c r="K12" i="7" s="1"/>
  <c r="J88" i="2"/>
  <c r="J4" i="7"/>
  <c r="K4" i="7" s="1"/>
  <c r="J8" i="7"/>
  <c r="K8" i="7" s="1"/>
  <c r="J5" i="7"/>
  <c r="K5" i="7" s="1"/>
  <c r="I12" i="3"/>
  <c r="G9" i="5"/>
  <c r="E40" i="4"/>
  <c r="N11" i="12"/>
  <c r="N13" i="12" s="1"/>
  <c r="O13" i="12" s="1"/>
  <c r="U18" i="11"/>
  <c r="V18" i="11" s="1"/>
  <c r="J13" i="12"/>
  <c r="G12" i="4"/>
  <c r="H12" i="4" s="1"/>
  <c r="H37" i="4"/>
  <c r="G20" i="4"/>
  <c r="H14" i="4"/>
  <c r="M16" i="7"/>
  <c r="I16" i="6"/>
  <c r="H58" i="6"/>
  <c r="K10" i="11"/>
  <c r="M11" i="7"/>
  <c r="Q18" i="11" l="1"/>
  <c r="P20" i="11"/>
  <c r="S18" i="12"/>
  <c r="M10" i="7"/>
  <c r="W18" i="12"/>
  <c r="G20" i="12"/>
  <c r="J18" i="12"/>
  <c r="G18" i="3"/>
  <c r="I18" i="3" s="1"/>
  <c r="J89" i="2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G15" i="3"/>
  <c r="I15" i="3" s="1"/>
  <c r="M12" i="7"/>
  <c r="M14" i="7"/>
  <c r="M6" i="7"/>
  <c r="M5" i="7"/>
  <c r="J15" i="7"/>
  <c r="M15" i="7" s="1"/>
  <c r="M13" i="7"/>
  <c r="M7" i="7"/>
  <c r="M4" i="7"/>
  <c r="J9" i="7"/>
  <c r="L5" i="7" s="1"/>
  <c r="M8" i="7"/>
  <c r="D3" i="8"/>
  <c r="E3" i="8" s="1"/>
  <c r="D6" i="8"/>
  <c r="D5" i="8"/>
  <c r="E5" i="8" s="1"/>
  <c r="F11" i="11"/>
  <c r="F13" i="11" s="1"/>
  <c r="G13" i="11" s="1"/>
  <c r="N18" i="12"/>
  <c r="K13" i="12"/>
  <c r="H20" i="4"/>
  <c r="G40" i="4"/>
  <c r="B10" i="3"/>
  <c r="I58" i="6"/>
  <c r="K11" i="11"/>
  <c r="B11" i="3" l="1"/>
  <c r="K18" i="12"/>
  <c r="J20" i="12"/>
  <c r="J106" i="2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D7" i="8"/>
  <c r="L8" i="7"/>
  <c r="K15" i="7"/>
  <c r="L4" i="7"/>
  <c r="L6" i="7"/>
  <c r="L10" i="7"/>
  <c r="L14" i="7"/>
  <c r="L7" i="7"/>
  <c r="L12" i="7"/>
  <c r="K9" i="7"/>
  <c r="M9" i="7"/>
  <c r="L11" i="7"/>
  <c r="L13" i="7"/>
  <c r="E7" i="8"/>
  <c r="F18" i="11"/>
  <c r="N20" i="12"/>
  <c r="O20" i="12" s="1"/>
  <c r="O18" i="12"/>
  <c r="H40" i="4"/>
  <c r="B4" i="3"/>
  <c r="G42" i="4"/>
  <c r="K13" i="11"/>
  <c r="B8" i="3" l="1"/>
  <c r="K20" i="12"/>
  <c r="G18" i="11"/>
  <c r="F20" i="11"/>
  <c r="G20" i="11" s="1"/>
  <c r="J149" i="2"/>
  <c r="J150" i="2" s="1"/>
  <c r="J151" i="2" s="1"/>
  <c r="J152" i="2" s="1"/>
  <c r="K18" i="11"/>
  <c r="K20" i="11" s="1"/>
  <c r="L20" i="11" s="1"/>
  <c r="L13" i="11"/>
  <c r="J153" i="2" l="1"/>
  <c r="J154" i="2" s="1"/>
  <c r="B13" i="3"/>
  <c r="L18" i="11"/>
  <c r="C13" i="3" l="1"/>
  <c r="J155" i="2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D4" i="16" s="1"/>
  <c r="D5" i="16" s="1"/>
  <c r="B19" i="3"/>
  <c r="D9" i="16" l="1"/>
  <c r="D10" i="16" s="1"/>
  <c r="C13" i="16"/>
  <c r="C19" i="3"/>
  <c r="B6" i="12" l="1"/>
  <c r="B6" i="11" s="1"/>
  <c r="G6" i="3" l="1"/>
  <c r="I6" i="3" s="1"/>
  <c r="B6" i="17"/>
  <c r="B5" i="12"/>
  <c r="B5" i="11" l="1"/>
  <c r="B7" i="12"/>
  <c r="G5" i="3" l="1"/>
  <c r="I5" i="3" s="1"/>
  <c r="B5" i="17"/>
  <c r="B7" i="11"/>
  <c r="B10" i="12"/>
  <c r="G7" i="3" l="1"/>
  <c r="I7" i="3" s="1"/>
  <c r="B7" i="17"/>
  <c r="B11" i="12"/>
  <c r="B10" i="11"/>
  <c r="B4" i="12"/>
  <c r="G10" i="3" l="1"/>
  <c r="I10" i="3" s="1"/>
  <c r="B10" i="17"/>
  <c r="B11" i="11"/>
  <c r="B8" i="12"/>
  <c r="B4" i="11"/>
  <c r="G4" i="3" l="1"/>
  <c r="I4" i="3" s="1"/>
  <c r="B4" i="17"/>
  <c r="G11" i="3"/>
  <c r="I11" i="3" s="1"/>
  <c r="B11" i="17"/>
  <c r="B13" i="12"/>
  <c r="B8" i="11"/>
  <c r="G8" i="3" l="1"/>
  <c r="I8" i="3" s="1"/>
  <c r="B8" i="17"/>
  <c r="B18" i="12"/>
  <c r="B13" i="11"/>
  <c r="B13" i="17" s="1"/>
  <c r="C13" i="17" s="1"/>
  <c r="C13" i="12"/>
  <c r="C13" i="11" l="1"/>
  <c r="G13" i="3"/>
  <c r="I13" i="3" s="1"/>
  <c r="B18" i="11"/>
  <c r="B18" i="17" s="1"/>
  <c r="C18" i="17" s="1"/>
  <c r="B20" i="12"/>
  <c r="C18" i="12"/>
  <c r="C20" i="12" l="1"/>
  <c r="B20" i="11"/>
  <c r="C18" i="11"/>
  <c r="G19" i="3"/>
  <c r="I19" i="3" s="1"/>
  <c r="C20" i="11" l="1"/>
  <c r="B20" i="17"/>
  <c r="C20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Abizher Mohamed</author>
  </authors>
  <commentList>
    <comment ref="K2" authorId="0" shapeId="0" xr:uid="{00000000-0006-0000-0100-000001000000}">
      <text>
        <r>
          <rPr>
            <sz val="9"/>
            <color indexed="81"/>
            <rFont val="Tahoma"/>
            <family val="2"/>
          </rPr>
          <t>+3,400,000 - depositied into account
-822,469 - property payment
-831,584 - property payment
-833,537 - property payment
-838,093 - property payment
-2,950 - annual charges from bank
-7,489 - TDS for property
-2,393 - TDS for property
-7,639 - TDS for property</t>
        </r>
      </text>
    </comment>
  </commentList>
</comments>
</file>

<file path=xl/sharedStrings.xml><?xml version="1.0" encoding="utf-8"?>
<sst xmlns="http://schemas.openxmlformats.org/spreadsheetml/2006/main" count="1302" uniqueCount="563">
  <si>
    <t>Date</t>
  </si>
  <si>
    <t>Total</t>
  </si>
  <si>
    <t>Remarks</t>
  </si>
  <si>
    <t>Indian Funds</t>
  </si>
  <si>
    <t>Equity</t>
  </si>
  <si>
    <t>Misc.</t>
  </si>
  <si>
    <t>Comission + Tax</t>
  </si>
  <si>
    <t>Investments (INR)</t>
  </si>
  <si>
    <t>Balance
(INR)</t>
  </si>
  <si>
    <t>CAPITAL INVESTMENT (INR)</t>
  </si>
  <si>
    <t>Amount (INR)</t>
  </si>
  <si>
    <t>14/09/2016</t>
  </si>
  <si>
    <t>Exp.</t>
  </si>
  <si>
    <t>14/9/16</t>
  </si>
  <si>
    <t>NESIND</t>
  </si>
  <si>
    <t>TCS</t>
  </si>
  <si>
    <t>HUL</t>
  </si>
  <si>
    <t>27/7/16</t>
  </si>
  <si>
    <t>Projected Profit
(Rs.)</t>
  </si>
  <si>
    <t>Currrent Price
(Rs.)</t>
  </si>
  <si>
    <t>Capital Invested (Rs.)</t>
  </si>
  <si>
    <t>Shares</t>
  </si>
  <si>
    <t>Security</t>
  </si>
  <si>
    <t>Commission + Tax</t>
  </si>
  <si>
    <t>Operating Expenses</t>
  </si>
  <si>
    <t>23/09/2016</t>
  </si>
  <si>
    <t>26/09/2016</t>
  </si>
  <si>
    <t>29/09/16</t>
  </si>
  <si>
    <t>Mutual Fund</t>
  </si>
  <si>
    <t>NAV (Rs).</t>
  </si>
  <si>
    <t>No. of Units</t>
  </si>
  <si>
    <t>29/09/2016</t>
  </si>
  <si>
    <t>Projected Profit
(%)</t>
  </si>
  <si>
    <t>ROE (%)</t>
  </si>
  <si>
    <t>NPM (%)</t>
  </si>
  <si>
    <t>EICHER 
MOTORS</t>
  </si>
  <si>
    <t>ASIAN
PAINTS</t>
  </si>
  <si>
    <t>PGHH</t>
  </si>
  <si>
    <t>P/S (Rs).</t>
  </si>
  <si>
    <t>PE
AVG</t>
  </si>
  <si>
    <t>INCOME</t>
  </si>
  <si>
    <t>EXPENSES</t>
  </si>
  <si>
    <t>Total Expenses</t>
  </si>
  <si>
    <t>NET PROFIT</t>
  </si>
  <si>
    <t>Ratios</t>
  </si>
  <si>
    <t>Beta</t>
  </si>
  <si>
    <t>5 YR Return</t>
  </si>
  <si>
    <t>Exp. Ratio</t>
  </si>
  <si>
    <t>Figures</t>
  </si>
  <si>
    <t>SBI Pharma</t>
  </si>
  <si>
    <t>13/10/2016</t>
  </si>
  <si>
    <t>Sold Stock Value
(Rs.)</t>
  </si>
  <si>
    <t>Sold Total Value (Rs.)</t>
  </si>
  <si>
    <t>17/11/2015</t>
  </si>
  <si>
    <t>17/11/15</t>
  </si>
  <si>
    <t>ICICI Prud. 
Tech.</t>
  </si>
  <si>
    <t>Sold Stocks</t>
  </si>
  <si>
    <t>27/07/2016</t>
  </si>
  <si>
    <t>26/07/2016</t>
  </si>
  <si>
    <t>Investment Length</t>
  </si>
  <si>
    <t>Mid Term</t>
  </si>
  <si>
    <t>Long Term</t>
  </si>
  <si>
    <t>Short Term</t>
  </si>
  <si>
    <t>ASHOK
LEYLAND</t>
  </si>
  <si>
    <t>WABCO
INDIA</t>
  </si>
  <si>
    <t>24/10/2016</t>
  </si>
  <si>
    <t>ARVIND 
LTD.</t>
  </si>
  <si>
    <t>26/10/2016</t>
  </si>
  <si>
    <t>17/10/2016</t>
  </si>
  <si>
    <t>18/10/2016</t>
  </si>
  <si>
    <t xml:space="preserve"> </t>
  </si>
  <si>
    <t>No. of Shares</t>
  </si>
  <si>
    <t>Amount per Share (Rs.)</t>
  </si>
  <si>
    <t>Cyient Ltd.</t>
  </si>
  <si>
    <t>Asian Paints</t>
  </si>
  <si>
    <t>Total Received (Rs.)</t>
  </si>
  <si>
    <t>16/11/2016</t>
  </si>
  <si>
    <t>22/11/2016</t>
  </si>
  <si>
    <t>25/11/2016</t>
  </si>
  <si>
    <t xml:space="preserve">KAJARIA CERMAICS </t>
  </si>
  <si>
    <t>25/11/16</t>
  </si>
  <si>
    <t>ONGC</t>
  </si>
  <si>
    <t>WIPRO</t>
  </si>
  <si>
    <t>S H KELKAR
&amp; CO.</t>
  </si>
  <si>
    <t>Will be holding on to this stocks with the eventual expectation of high profits.</t>
  </si>
  <si>
    <t>Current NAV
(Rs.)</t>
  </si>
  <si>
    <t>28/11/2016</t>
  </si>
  <si>
    <t>29/11/2016</t>
  </si>
  <si>
    <t>Averaging Nestle</t>
  </si>
  <si>
    <t>Averaging TCS</t>
  </si>
  <si>
    <t>HAVELLS
INDIA</t>
  </si>
  <si>
    <t>30/11/2016</t>
  </si>
  <si>
    <t>13/12/2016</t>
  </si>
  <si>
    <t>13/12/16</t>
  </si>
  <si>
    <t>GLENMARK
PHAMRA</t>
  </si>
  <si>
    <t>14/12/16</t>
  </si>
  <si>
    <t>Short - Term</t>
  </si>
  <si>
    <t>Mid - Term</t>
  </si>
  <si>
    <t>Long - Term</t>
  </si>
  <si>
    <t>Length</t>
  </si>
  <si>
    <t>Amount</t>
  </si>
  <si>
    <t>% of Portfolio</t>
  </si>
  <si>
    <t>Cash Holdings</t>
  </si>
  <si>
    <t>Planned Allocation</t>
  </si>
  <si>
    <t>NA</t>
  </si>
  <si>
    <t>Relatively flat prices</t>
  </si>
  <si>
    <t>22/12/16</t>
  </si>
  <si>
    <t>Gross Profit
(Rs.)</t>
  </si>
  <si>
    <t>Gross Profit
(%)</t>
  </si>
  <si>
    <t>Averaging AP</t>
  </si>
  <si>
    <t>31/12/2016</t>
  </si>
  <si>
    <t>16/09/16</t>
  </si>
  <si>
    <t>Money come from ONGC</t>
  </si>
  <si>
    <t>Sold Stocks + Capital Gain</t>
  </si>
  <si>
    <t>VRL LOGISTICS</t>
  </si>
  <si>
    <t>SADBHAV ENG.</t>
  </si>
  <si>
    <t>CYIENT LTD.</t>
  </si>
  <si>
    <t>Paid to Analyst for 3 Months</t>
  </si>
  <si>
    <t>STRIDES SHASUN</t>
  </si>
  <si>
    <t>Booked (Stock)</t>
  </si>
  <si>
    <t>Booked Total</t>
  </si>
  <si>
    <t>Projected (Stock)</t>
  </si>
  <si>
    <t xml:space="preserve">Projected  (Mutual Funds) </t>
  </si>
  <si>
    <t>Total Projected</t>
  </si>
  <si>
    <t>Gross Profit</t>
  </si>
  <si>
    <t>Dividends</t>
  </si>
  <si>
    <t>VRL Logistics</t>
  </si>
  <si>
    <t>16/02/2017</t>
  </si>
  <si>
    <t>20/02/17</t>
  </si>
  <si>
    <t>20/02/2017</t>
  </si>
  <si>
    <t>Torrent 
Pharma</t>
  </si>
  <si>
    <t>14/03/17</t>
  </si>
  <si>
    <t>15/03/17</t>
  </si>
  <si>
    <t>14/03/2017</t>
  </si>
  <si>
    <t>MAHANAGAR
GAS</t>
  </si>
  <si>
    <t>NRB
Bearings</t>
  </si>
  <si>
    <t>Total Long Term</t>
  </si>
  <si>
    <t>Total Mid Term</t>
  </si>
  <si>
    <t>Total Short Term</t>
  </si>
  <si>
    <t>24/03/17</t>
  </si>
  <si>
    <t>AMARA RAJA
BATTERIES</t>
  </si>
  <si>
    <t>29/03/17</t>
  </si>
  <si>
    <t>CEAT</t>
  </si>
  <si>
    <t>29/03/2017</t>
  </si>
  <si>
    <t>TORRENT
PHARMA</t>
  </si>
  <si>
    <t>Total Amount</t>
  </si>
  <si>
    <t>% of Capital Invested</t>
  </si>
  <si>
    <t>% of Total Dividends</t>
  </si>
  <si>
    <t>TITAN
CO.</t>
  </si>
  <si>
    <t>18/04/17</t>
  </si>
  <si>
    <t>BERGER
PAINTS</t>
  </si>
  <si>
    <t>BAJAJ
AUTO</t>
  </si>
  <si>
    <t>HPCL</t>
  </si>
  <si>
    <t>BRIGADE
ENTERPRISES</t>
  </si>
  <si>
    <t>Will be hlding stocks for quick gains</t>
  </si>
  <si>
    <t>% of Length Contribution</t>
  </si>
  <si>
    <t>BALRAMPUR
CHINI MILLS</t>
  </si>
  <si>
    <t>16/05/2017</t>
  </si>
  <si>
    <t>NRB
BEARINGS</t>
  </si>
  <si>
    <t>GMDC</t>
  </si>
  <si>
    <t>Prices continue to fall.</t>
  </si>
  <si>
    <t>SHALIMAR
PAINTS</t>
  </si>
  <si>
    <t>NESTLE</t>
  </si>
  <si>
    <t>16/06/17</t>
  </si>
  <si>
    <t>16/06/2017</t>
  </si>
  <si>
    <t>19/06/17</t>
  </si>
  <si>
    <t>20/06/17</t>
  </si>
  <si>
    <t>22/06/17</t>
  </si>
  <si>
    <t>26/06/17</t>
  </si>
  <si>
    <t>28/06/17</t>
  </si>
  <si>
    <t>19/06/2017</t>
  </si>
  <si>
    <t>22/6/2017</t>
  </si>
  <si>
    <t>28/6/2017</t>
  </si>
  <si>
    <t>GUJARAT PIPAVAV PORT</t>
  </si>
  <si>
    <t>Profit &amp; Loss Statement from 1st January 2017 to 31st March 2017
 (All Prices in Thousands)</t>
  </si>
  <si>
    <t>Profit &amp; Loss Statement from 1st April 2017 to 30th June 2017
 (All Prices in Thousands)</t>
  </si>
  <si>
    <t>Averaging of Glenmark</t>
  </si>
  <si>
    <t>Averaging of ONGC</t>
  </si>
  <si>
    <t>BAJAJ ELECTRICAL</t>
  </si>
  <si>
    <t>SHREE RENUKA SUGARS</t>
  </si>
  <si>
    <t>TATA GLOBAL BEVERAGE</t>
  </si>
  <si>
    <t>Profit &amp; Loss Statement from 26th July 2016 to 31st December 2016
 (All Prices in Thousands)</t>
  </si>
  <si>
    <t>HAVELLS INDIA</t>
  </si>
  <si>
    <t>KIRLOSKAR ELECTRIC</t>
  </si>
  <si>
    <t>28/07/2017</t>
  </si>
  <si>
    <t>BAJAJ AUTO</t>
  </si>
  <si>
    <t>Bajaj Auto</t>
  </si>
  <si>
    <t>Ashok Leyland</t>
  </si>
  <si>
    <t>Profit &amp; Loss Statement from 1st July 2017 to 31st July 2017
 (All Prices in Thousands)</t>
  </si>
  <si>
    <t>Sold</t>
  </si>
  <si>
    <t>Paid to Analyst for 1 Year</t>
  </si>
  <si>
    <t>MANGALORE CHEM &amp; FERT</t>
  </si>
  <si>
    <t>Averaging of Sanghi Industries</t>
  </si>
  <si>
    <t>Averaging of Strides Shasun</t>
  </si>
  <si>
    <t>SANGHI INDUSTRIES</t>
  </si>
  <si>
    <t>Price has been on a uptrend for a few months</t>
  </si>
  <si>
    <t>Bajaj Electricals</t>
  </si>
  <si>
    <t>Gujarat Pipavav Port</t>
  </si>
  <si>
    <t>Balrampur Chini Mills</t>
  </si>
  <si>
    <t>16/08/17</t>
  </si>
  <si>
    <t>18/08/17</t>
  </si>
  <si>
    <t>19/08/17</t>
  </si>
  <si>
    <t>GODREJ INDUSTRIES</t>
  </si>
  <si>
    <t>S H Kelkar</t>
  </si>
  <si>
    <t>30/08/17</t>
  </si>
  <si>
    <t>Additional Investments</t>
  </si>
  <si>
    <t>14/09/17</t>
  </si>
  <si>
    <t>EICHER MOTORS</t>
  </si>
  <si>
    <t>ULTRATECH CEMENT</t>
  </si>
  <si>
    <t>KWALITY</t>
  </si>
  <si>
    <t>SINTEX INDUSTRIES</t>
  </si>
  <si>
    <t>Sold Tech Fund</t>
  </si>
  <si>
    <t>BALRAMPUR CHINI MILLS</t>
  </si>
  <si>
    <t>Profit &amp; Loss Statement from 1st August 2017 to 31st August 2017
 (All Prices in Thousands)</t>
  </si>
  <si>
    <t>CYIENT LTD</t>
  </si>
  <si>
    <t>UPL LTD</t>
  </si>
  <si>
    <t>APOLLO TYRES</t>
  </si>
  <si>
    <t>IG PETRO</t>
  </si>
  <si>
    <t>NEROLAC</t>
  </si>
  <si>
    <t>28/09/17</t>
  </si>
  <si>
    <t>LARSEN &amp; TOURBO</t>
  </si>
  <si>
    <t>RELIANCE INDUSTRIES</t>
  </si>
  <si>
    <t>Strides Shasun</t>
  </si>
  <si>
    <t>Wabco India</t>
  </si>
  <si>
    <t>Profit &amp; Loss Statement from 1st September 2017 to 30th September 2017
 (All Prices in Thousands)</t>
  </si>
  <si>
    <t>Profit &amp; Loss Statement from 1st July 2017 to 30th September 2017
 (All Prices in Thousands)</t>
  </si>
  <si>
    <t>25% Brokerage Charges for 10 Crores</t>
  </si>
  <si>
    <t>IT sector is starting to loose popularity but had positive returns.</t>
  </si>
  <si>
    <t>ANJANI CEMENT</t>
  </si>
  <si>
    <t>VOLTAS</t>
  </si>
  <si>
    <t>Glenmark Pharma</t>
  </si>
  <si>
    <t>Profit &amp; Loss Statement from 1st October 2017 to 31st December 2017
 (All Prices in Thousands)</t>
  </si>
  <si>
    <t>Amount Remaining for Investment</t>
  </si>
  <si>
    <t>BUDGET</t>
  </si>
  <si>
    <t>VARIANCE</t>
  </si>
  <si>
    <t>Sold Stocks</t>
    <phoneticPr fontId="37" type="noConversion"/>
  </si>
  <si>
    <t>Dividends</t>
    <phoneticPr fontId="37" type="noConversion"/>
  </si>
  <si>
    <t xml:space="preserve"> </t>
    <phoneticPr fontId="37" type="noConversion"/>
  </si>
  <si>
    <t>Sold Stocks + Capital Gain</t>
    <phoneticPr fontId="37" type="noConversion"/>
  </si>
  <si>
    <t>IG PETRO</t>
    <phoneticPr fontId="37" type="noConversion"/>
  </si>
  <si>
    <t>COLGATE</t>
  </si>
  <si>
    <t>MCL</t>
    <phoneticPr fontId="37" type="noConversion"/>
  </si>
  <si>
    <t>Short Term</t>
    <phoneticPr fontId="37" type="noConversion"/>
  </si>
  <si>
    <t>Mid Term</t>
    <phoneticPr fontId="37" type="noConversion"/>
  </si>
  <si>
    <t>KWALITY</t>
    <phoneticPr fontId="37" type="noConversion"/>
  </si>
  <si>
    <t>TCS</t>
    <phoneticPr fontId="37" type="noConversion"/>
  </si>
  <si>
    <t>Profit &amp; Loss Statement from 1st October 2017 to 31st October 2017
 (All Prices in Thousands)</t>
    <phoneticPr fontId="37" type="noConversion"/>
  </si>
  <si>
    <t>ABAN OFFSHORE</t>
  </si>
  <si>
    <t>LUPIN</t>
  </si>
  <si>
    <t>INFOSYS</t>
  </si>
  <si>
    <t>14/11/2017</t>
  </si>
  <si>
    <t>Infosys</t>
  </si>
  <si>
    <t>MAHANAGAR GAS</t>
  </si>
  <si>
    <t>15/11/17</t>
  </si>
  <si>
    <t>17/11/17</t>
  </si>
  <si>
    <t>AJANTA PHARMA</t>
  </si>
  <si>
    <t>ALKEM LAB</t>
  </si>
  <si>
    <t>AUROBINDO PHARMA</t>
  </si>
  <si>
    <t>CADILA HEALTHCARE</t>
  </si>
  <si>
    <t>CIPLA</t>
  </si>
  <si>
    <t>DR REDDYS LAB</t>
  </si>
  <si>
    <t>TORRENT PHARMA</t>
  </si>
  <si>
    <t>DIVIS LAB</t>
  </si>
  <si>
    <t>ERIS LIFESCIENCES</t>
  </si>
  <si>
    <t>NARAYANA HRUDAYALAYA</t>
  </si>
  <si>
    <t>SUN PHARMA</t>
  </si>
  <si>
    <t>THYROCARE TECH</t>
  </si>
  <si>
    <t>Projected (Pharma Sector)</t>
  </si>
  <si>
    <t>22/11/2017</t>
  </si>
  <si>
    <t>SOBHA</t>
  </si>
  <si>
    <t>Profit &amp; Loss Statement from 1st November 2017 to 30th November 2017
 (All Prices in Thousands)</t>
  </si>
  <si>
    <t>Pharma Sector</t>
  </si>
  <si>
    <t>TATA ELXSI</t>
  </si>
  <si>
    <t>TATA STEEL</t>
  </si>
  <si>
    <t>RAYMOND</t>
  </si>
  <si>
    <t>AUROBINDO</t>
  </si>
  <si>
    <t>13/12/2017</t>
  </si>
  <si>
    <t>ASHOKA BUILDCON</t>
  </si>
  <si>
    <t>HUHTAMAKA</t>
  </si>
  <si>
    <t>WHIRLPOOL</t>
  </si>
  <si>
    <t>19/12/17</t>
  </si>
  <si>
    <t>COAL INDIA</t>
  </si>
  <si>
    <t>GAIL</t>
  </si>
  <si>
    <t>IOC</t>
  </si>
  <si>
    <t>INOX WIND</t>
  </si>
  <si>
    <t>NTPC</t>
  </si>
  <si>
    <t>PETRONET LNG</t>
  </si>
  <si>
    <t>POWER GRID</t>
  </si>
  <si>
    <t>SUZLON ENERGY</t>
  </si>
  <si>
    <t>TATA POWER</t>
  </si>
  <si>
    <t>GMR INFRA</t>
  </si>
  <si>
    <t>19/12/2017</t>
  </si>
  <si>
    <t>20/12/2017</t>
  </si>
  <si>
    <t>VIP INDUSTRIES</t>
  </si>
  <si>
    <t>21/12/2017</t>
  </si>
  <si>
    <t>RAMCO CEMENTS</t>
  </si>
  <si>
    <t>Profit &amp; Loss Statement from 1st December 2017 to 31st December 2017
 (All Prices in Thousands)</t>
  </si>
  <si>
    <t>Indian Cash Movement as on 31-12-2017</t>
  </si>
  <si>
    <t>Projected (Energy Sector)</t>
  </si>
  <si>
    <t>CENTURY PLYBOARDS</t>
  </si>
  <si>
    <t>26/12/2017</t>
  </si>
  <si>
    <t>28/12/2017</t>
  </si>
  <si>
    <t>Pharma Sector as of 31-12-2017</t>
  </si>
  <si>
    <t>Detailed Invested Stock Report as of 31-12-2017</t>
  </si>
  <si>
    <t>Detailed Sold Stock Report as of 31-12-2017</t>
  </si>
  <si>
    <t>Detailed Fund Report as of 31-12-2017</t>
  </si>
  <si>
    <t>Dividend Report as of 31-12-2017</t>
  </si>
  <si>
    <t>Profit &amp; Loss Statement from 26th July 2016 to 31st December 2017
 (All Prices in Thousands)</t>
  </si>
  <si>
    <t>Account Number</t>
  </si>
  <si>
    <t>000401805342(INR)  - ABIZER MOHAMMED ABDUL HUSSAIN</t>
  </si>
  <si>
    <t>Transaction Date from</t>
  </si>
  <si>
    <t>to</t>
  </si>
  <si>
    <t>Transactions List -  ABIZER MOHAMMED ABDUL HUSSAIN - 000401805342</t>
  </si>
  <si>
    <t>S No.</t>
  </si>
  <si>
    <t>Value Date</t>
  </si>
  <si>
    <t>Transaction Date</t>
  </si>
  <si>
    <t>Cheque Number</t>
  </si>
  <si>
    <t>Transaction Remarks</t>
  </si>
  <si>
    <t>Withdrawal Amount (INR )</t>
  </si>
  <si>
    <t>Deposit Amount (INR )</t>
  </si>
  <si>
    <t>Balance (INR )</t>
  </si>
  <si>
    <t>Opening Balance</t>
  </si>
  <si>
    <t>1</t>
  </si>
  <si>
    <t>-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</si>
  <si>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</si>
  <si>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</si>
  <si>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</si>
  <si>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</si>
  <si>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</si>
  <si>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</si>
  <si>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</si>
  <si>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</si>
  <si>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</si>
  <si>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</si>
  <si>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</si>
  <si>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</si>
  <si>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</si>
  <si>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</si>
  <si>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</si>
  <si>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</si>
  <si>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</si>
  <si>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</si>
  <si>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</si>
  <si>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</si>
  <si>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</si>
  <si>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</si>
  <si>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</si>
  <si>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</si>
  <si>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</si>
  <si>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</si>
  <si>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</si>
  <si>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</si>
  <si>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</si>
  <si>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</si>
  <si>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</si>
  <si>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</si>
  <si>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</si>
  <si>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</si>
  <si>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</si>
  <si>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</si>
  <si>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</si>
  <si>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</si>
  <si>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</si>
  <si>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</si>
  <si>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</si>
  <si>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</si>
  <si>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</si>
  <si>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</si>
  <si>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</si>
  <si>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</si>
  <si>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</si>
  <si>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</si>
  <si>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</si>
  <si>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</si>
  <si>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</si>
  <si>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</si>
  <si>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</si>
  <si>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</si>
  <si>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</si>
  <si>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</si>
  <si>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</si>
  <si>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</si>
  <si>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</si>
  <si>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</si>
  <si>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</si>
  <si>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</si>
  <si>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</si>
  <si>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</si>
  <si>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</si>
  <si>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</si>
  <si>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</si>
  <si>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</si>
  <si>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</si>
  <si>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</si>
  <si>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</si>
  <si>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</si>
  <si>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</si>
  <si>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</si>
  <si>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</si>
  <si>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</si>
  <si>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</si>
  <si>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</si>
  <si>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</si>
  <si>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</si>
  <si>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</si>
  <si>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</si>
  <si>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</si>
  <si>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</si>
  <si>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Reconcilation as of 31st March 2017</t>
  </si>
  <si>
    <t>Bank Closing Balance</t>
  </si>
  <si>
    <t>Mohamed Closing Balance</t>
  </si>
  <si>
    <t>Difference</t>
  </si>
  <si>
    <t>Reason for Difference</t>
  </si>
  <si>
    <t>Value</t>
  </si>
  <si>
    <t>Final Amount</t>
  </si>
  <si>
    <t>Remaining balance in ICICI Direct A/C for Equities: INR 3,076,530.99/-</t>
  </si>
  <si>
    <t>02/10/2017</t>
  </si>
  <si>
    <t>03/10/2017</t>
  </si>
  <si>
    <t>EBA/NSDL CDSL Chg_021017/20171002060622</t>
  </si>
  <si>
    <t>ACH/OIL AND NATURAL GAS/0000000000000000000000006</t>
  </si>
  <si>
    <t>ACH/GLENMARK PHARMA/1928016</t>
  </si>
  <si>
    <t>EBA/NSE N  2017187/20171003220121</t>
  </si>
  <si>
    <t>04/10/2017</t>
  </si>
  <si>
    <t>EBA/NSE N 2017186/20171004081426</t>
  </si>
  <si>
    <t>EBA/NSE N  2017186/20171004083037</t>
  </si>
  <si>
    <t>EBA/NSE N  2017187/20171004083408</t>
  </si>
  <si>
    <t>EBA/NSE N  2017188/20171004222654</t>
  </si>
  <si>
    <t>09/10/2017</t>
  </si>
  <si>
    <t>INF/000039719059/AC Recon Intrst</t>
  </si>
  <si>
    <t>11/10/2017</t>
  </si>
  <si>
    <t>EBA/NSE N  2017193/20171011221044</t>
  </si>
  <si>
    <t>13/10/2017</t>
  </si>
  <si>
    <t>EBA/NSDL CDSL Chg_131017/20171013074204</t>
  </si>
  <si>
    <t>16/10/2017</t>
  </si>
  <si>
    <t>EBA/NSE N 2017194/20171016082253</t>
  </si>
  <si>
    <t>EBA/NSE N  2017195/20171016084033</t>
  </si>
  <si>
    <t>EBA/NSE N  2017196/20171016214244</t>
  </si>
  <si>
    <t>19/10/2017</t>
  </si>
  <si>
    <t>EBA/NSDL CDSL Chg_191017/20171019055114</t>
  </si>
  <si>
    <t>ACH/MCL FIN DIV 2017/039963</t>
  </si>
  <si>
    <t>EBA/NSDL CDSL Chg_191017/20171019160258</t>
  </si>
  <si>
    <t>24/10/2017</t>
  </si>
  <si>
    <t>EBA/NSDL CDSL Chg_241017/20171024063253</t>
  </si>
  <si>
    <t>EBA/NSE N 2017198/20171024081841</t>
  </si>
  <si>
    <t>ACH/KWALITY LTD/KD22091715541</t>
  </si>
  <si>
    <t>25/10/2017</t>
  </si>
  <si>
    <t>EBA/NSE N 2017200/20171025082606</t>
  </si>
  <si>
    <t>EBA/NSE N  2017201/20171025084415</t>
  </si>
  <si>
    <t>26/10/2017</t>
  </si>
  <si>
    <t>EBA/NSE N  2017202/20171025234104</t>
  </si>
  <si>
    <t>27/10/2017</t>
  </si>
  <si>
    <t>EBA/NSE N 2017202/20171027082708</t>
  </si>
  <si>
    <t>EBA/NSE N  2017202/20171027090214</t>
  </si>
  <si>
    <t xml:space="preserve">EBA/NSDL CDSL </t>
  </si>
  <si>
    <t>Chg_271017/20171027200327</t>
  </si>
  <si>
    <t>01/11/2017</t>
  </si>
  <si>
    <t>ACH/TCS INTDIV 011117/C200525915IN30290244684072</t>
  </si>
  <si>
    <t>02/11/2017</t>
  </si>
  <si>
    <t>EBA/NSDL CDSL Chg_021117/20171102063645</t>
  </si>
  <si>
    <t>EBA/NSE N 2017206/20171102081837</t>
  </si>
  <si>
    <t>03/11/2017</t>
  </si>
  <si>
    <t>ACH/ASIANPAINTSDIV1718/AN00174861IN30290244684072</t>
  </si>
  <si>
    <t>04/11/2017</t>
  </si>
  <si>
    <t>CMS/INFOSYS/INT DIV17-18 14346622</t>
  </si>
  <si>
    <t>07/11/2017</t>
  </si>
  <si>
    <t>EBA/NSE N 2017209/20171107080648</t>
  </si>
  <si>
    <t>EBA/NSDL CDSL Chg_071117/20171107162507</t>
  </si>
  <si>
    <t>08/11/2017</t>
  </si>
  <si>
    <t>EBA/NSE N  2017211/20171108073619</t>
  </si>
  <si>
    <t>09/11/2017</t>
  </si>
  <si>
    <t>EBA/NSE N 2017211/20171109081815</t>
  </si>
  <si>
    <t>EBA/NSE N  2017211/20171109083649</t>
  </si>
  <si>
    <t>EBA/NSDL CDSL Chg_071117/20171109160433</t>
  </si>
  <si>
    <t>EBA/NSDL CDSL Chg_081117/20171109160434</t>
  </si>
  <si>
    <t>10/11/2017</t>
  </si>
  <si>
    <t>ACH/OIL AND NATURAL GAS/0000000000000000000000005</t>
  </si>
  <si>
    <t>13/11/2017</t>
  </si>
  <si>
    <t>EBA/NSE N  2017215/20171113220308</t>
  </si>
  <si>
    <t>EBA/NSDL CDSL Chg_141117/20171114065426</t>
  </si>
  <si>
    <t>ACH/HINDUSTAN UNILEVER/14807053</t>
  </si>
  <si>
    <t>15/11/2017</t>
  </si>
  <si>
    <t>EBA/NSDL CDSL Chg_151117/20171115062422</t>
  </si>
  <si>
    <t>EBA/NSE N 2017215/20171115081226</t>
  </si>
  <si>
    <t>EBA/NSE N  2017215/20171115083250</t>
  </si>
  <si>
    <t>EBA/NSE N  2017215/20171115083251</t>
  </si>
  <si>
    <t>INF/000040068628/Phrma allocatn</t>
  </si>
  <si>
    <t>EBA/NSE N  2017217/20171115215058</t>
  </si>
  <si>
    <t>16/11/2017</t>
  </si>
  <si>
    <t>EBA/NSE N 2017216/20171116082456</t>
  </si>
  <si>
    <t>EBA/NSE N  2017217/20171116084637</t>
  </si>
  <si>
    <t>EBA/NSE N  2017218/20171116205339</t>
  </si>
  <si>
    <t>17/11/2017</t>
  </si>
  <si>
    <t>EBA/NSE N  2017219/20171117213208</t>
  </si>
  <si>
    <t>24/11/2017</t>
  </si>
  <si>
    <t>EBA/NSE N 2017222/20171124082602</t>
  </si>
  <si>
    <t>EBA/NSE N  2017222/20171124084052</t>
  </si>
  <si>
    <t>EBA/NSE N  2017223/20171124084526</t>
  </si>
  <si>
    <t>EBA/NSDL CDSL Chg_231117/20171124163428</t>
  </si>
  <si>
    <t>27/11/2017</t>
  </si>
  <si>
    <t>EBA/NSE N  2017225/20171127215000</t>
  </si>
  <si>
    <t>28/11/2017</t>
  </si>
  <si>
    <t>EBA/NSE N  2017226/20171128221338</t>
  </si>
  <si>
    <t>29/11/2017</t>
  </si>
  <si>
    <t>EBA/NSE N  2017227/20171129220054</t>
  </si>
  <si>
    <t>30/11/2017</t>
  </si>
  <si>
    <t>ACH/AUROBINDO PHARMA LTD/4485640</t>
  </si>
  <si>
    <t>05/12/2017</t>
  </si>
  <si>
    <t>EBA/NSDL CDSL Chg_051217/20171205063310</t>
  </si>
  <si>
    <t>06/12/2017</t>
  </si>
  <si>
    <t>EBA/NSE N 2017230/20171206083056</t>
  </si>
  <si>
    <t>EBA/NSE N  2017230/20171206085109</t>
  </si>
  <si>
    <t>EBA/NSDL CDSL Chg_051217/20171206160416</t>
  </si>
  <si>
    <t>11/12/2017</t>
  </si>
  <si>
    <t>SRS/15657626/C+GST5.0/INREM/20171211152023</t>
  </si>
  <si>
    <t>12/12/2017</t>
  </si>
  <si>
    <t>EBA/NSE N  2017236/20171212202802</t>
  </si>
  <si>
    <t>EBA/NSDL CDSL Chg_131217/20171213063856</t>
  </si>
  <si>
    <t>14/12/2017</t>
  </si>
  <si>
    <t>EBA/NSDL CDSL Chg_141217/20171214063851</t>
  </si>
  <si>
    <t>EBA/NSE N 2017236/20171214081545</t>
  </si>
  <si>
    <t>EBA/NSE N  2017236/20171214082704</t>
  </si>
  <si>
    <t>15/12/2017</t>
  </si>
  <si>
    <t>EBA/NSE N 2017237/20171215082701</t>
  </si>
  <si>
    <t>18/12/2017</t>
  </si>
  <si>
    <t>EBA/NSE N  2017240/20171218204940</t>
  </si>
  <si>
    <t>EBA/NSE N  2017241/20171219214403</t>
  </si>
  <si>
    <t>EBA/NSDL CDSL Chg_211217/20171221062255</t>
  </si>
  <si>
    <t>EBA/NSE N 2017241/20171221083548</t>
  </si>
  <si>
    <t>EBA/NSE N  2017241/20171221085246</t>
  </si>
  <si>
    <t>EBA/NSDL CDSL Chg_211217/20171221162548</t>
  </si>
  <si>
    <t>22/12/2017</t>
  </si>
  <si>
    <t>EBA/NSDL CDSL Chg_221217/20171222060220</t>
  </si>
  <si>
    <t>EBA/NSE N 2017242/20171222083443</t>
  </si>
  <si>
    <t>EBA/NSE N  2017242/20171222085218</t>
  </si>
  <si>
    <t>86</t>
  </si>
  <si>
    <t>ACH/NESTLE INDIA LTD./000000000000000000000000056</t>
  </si>
  <si>
    <t>87</t>
  </si>
  <si>
    <t>EBA/NSE N 2017243/20171226053531</t>
  </si>
  <si>
    <t>88</t>
  </si>
  <si>
    <t>EBA/NSE N  2017244/20171226055946</t>
  </si>
  <si>
    <t>89</t>
  </si>
  <si>
    <t>EBA/NSE N  2017244/20171226055947</t>
  </si>
  <si>
    <t>90</t>
  </si>
  <si>
    <t>27/12/2017</t>
  </si>
  <si>
    <t>EBA/NSDL CDSL Chg_271217/20171227075512</t>
  </si>
  <si>
    <t>91</t>
  </si>
  <si>
    <t>EBA/NSE N 2017245/20171228082620</t>
  </si>
  <si>
    <t>92</t>
  </si>
  <si>
    <t>EBA/NSE N  2017246/20171228084831</t>
  </si>
  <si>
    <t>93</t>
  </si>
  <si>
    <t>29/12/2017</t>
  </si>
  <si>
    <t>EBA/NSDL CDSL Chg_291217/20171229062810</t>
  </si>
  <si>
    <t>94</t>
  </si>
  <si>
    <t>30/12/2017</t>
  </si>
  <si>
    <t>000401805342:Int.Pd:30-09-2017 to 29-12-2017</t>
  </si>
  <si>
    <t>95</t>
  </si>
  <si>
    <t>01/01/2018</t>
  </si>
  <si>
    <t>EBA/NSE N 2017247/20180101083207</t>
  </si>
  <si>
    <t>DETAILED STATEMENT as of 31st December 2017</t>
  </si>
  <si>
    <t>31/12/2017</t>
  </si>
  <si>
    <t>Interest from Bank from 30-09-2017 to 29-12-2017</t>
  </si>
  <si>
    <t>Profit &amp; Loss Statement from 1st January 2017 to 31st December 2017
 (All Prices in Thousands)</t>
  </si>
  <si>
    <t>Money to be transferred to A/C No. 000401805343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</si>
</sst>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_);[Red]\(0.00\)"/>
    <numFmt numFmtId="165" formatCode="dd/mm/yy;@"/>
    <numFmt numFmtId="166" formatCode="dd\.mm\.yyyy;@"/>
    <numFmt numFmtId="167" formatCode="dd/mm/yyyy;@"/>
    <numFmt numFmtId="168" formatCode="_(* #,##0_);_(* \(#,##0\);_(* &quot;-&quot;??_);_(@_)"/>
    <numFmt numFmtId="169" formatCode="#,##0.0000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0"/>
      <name val="SansSerif"/>
    </font>
    <font>
      <sz val="10"/>
      <color indexed="72"/>
      <name val="SansSerif"/>
    </font>
    <font>
      <b/>
      <sz val="18"/>
      <color indexed="72"/>
      <name val="Arial"/>
      <family val="2"/>
    </font>
    <font>
      <b/>
      <sz val="10"/>
      <color indexed="72"/>
      <name val="Arial"/>
      <family val="2"/>
    </font>
    <font>
      <b/>
      <sz val="10"/>
      <color indexed="72"/>
      <name val="SansSerif"/>
    </font>
    <font>
      <b/>
      <sz val="10"/>
      <name val="SansSerif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ont="0" applyFill="0" applyBorder="0" applyAlignment="0" applyProtection="0"/>
  </cellStyleXfs>
  <cellXfs count="398">
    <xf numFmtId="0" fontId="0" fillId="0" borderId="0" xfId="0"/>
    <xf numFmtId="3" fontId="2" fillId="0" borderId="19" xfId="0" applyNumberFormat="1" applyFont="1" applyBorder="1"/>
    <xf numFmtId="0" fontId="7" fillId="0" borderId="27" xfId="0" applyFont="1" applyBorder="1" applyAlignment="1">
      <alignment horizontal="left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9" xfId="0" applyFont="1" applyBorder="1"/>
    <xf numFmtId="0" fontId="7" fillId="0" borderId="11" xfId="0" applyFont="1" applyBorder="1"/>
    <xf numFmtId="0" fontId="8" fillId="0" borderId="18" xfId="0" applyFont="1" applyBorder="1"/>
    <xf numFmtId="4" fontId="8" fillId="0" borderId="23" xfId="0" applyNumberFormat="1" applyFont="1" applyBorder="1"/>
    <xf numFmtId="4" fontId="7" fillId="0" borderId="28" xfId="0" applyNumberFormat="1" applyFont="1" applyBorder="1" applyAlignment="1">
      <alignment horizontal="center" vertical="center"/>
    </xf>
    <xf numFmtId="4" fontId="0" fillId="0" borderId="0" xfId="0" applyNumberFormat="1"/>
    <xf numFmtId="0" fontId="0" fillId="0" borderId="31" xfId="0" applyBorder="1"/>
    <xf numFmtId="16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43" fontId="0" fillId="0" borderId="0" xfId="1" applyFont="1"/>
    <xf numFmtId="0" fontId="0" fillId="0" borderId="8" xfId="0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4" fontId="2" fillId="0" borderId="10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7" xfId="0" applyBorder="1"/>
    <xf numFmtId="0" fontId="0" fillId="0" borderId="8" xfId="0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4" borderId="7" xfId="0" applyFont="1" applyFill="1" applyBorder="1"/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33" xfId="0" applyNumberFormat="1" applyBorder="1"/>
    <xf numFmtId="164" fontId="0" fillId="0" borderId="31" xfId="0" applyNumberFormat="1" applyBorder="1"/>
    <xf numFmtId="43" fontId="0" fillId="0" borderId="0" xfId="0" applyNumberFormat="1"/>
    <xf numFmtId="4" fontId="7" fillId="0" borderId="19" xfId="0" applyNumberFormat="1" applyFont="1" applyBorder="1"/>
    <xf numFmtId="0" fontId="2" fillId="0" borderId="7" xfId="0" applyFont="1" applyBorder="1" applyAlignment="1">
      <alignment horizontal="center"/>
    </xf>
    <xf numFmtId="0" fontId="2" fillId="5" borderId="7" xfId="0" applyFont="1" applyFill="1" applyBorder="1"/>
    <xf numFmtId="0" fontId="2" fillId="5" borderId="34" xfId="0" applyFont="1" applyFill="1" applyBorder="1"/>
    <xf numFmtId="40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40" fontId="2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2" fillId="0" borderId="40" xfId="2" applyNumberFormat="1" applyFont="1" applyBorder="1" applyAlignment="1">
      <alignment horizontal="center" vertical="center"/>
    </xf>
    <xf numFmtId="166" fontId="7" fillId="0" borderId="27" xfId="0" applyNumberFormat="1" applyFont="1" applyBorder="1" applyAlignment="1">
      <alignment horizontal="left" vertical="center"/>
    </xf>
    <xf numFmtId="165" fontId="7" fillId="0" borderId="9" xfId="0" applyNumberFormat="1" applyFont="1" applyBorder="1" applyAlignment="1">
      <alignment horizontal="left" vertical="center"/>
    </xf>
    <xf numFmtId="165" fontId="7" fillId="0" borderId="7" xfId="0" applyNumberFormat="1" applyFont="1" applyBorder="1" applyAlignment="1">
      <alignment horizontal="left" vertical="center"/>
    </xf>
    <xf numFmtId="167" fontId="7" fillId="0" borderId="9" xfId="0" applyNumberFormat="1" applyFont="1" applyBorder="1" applyAlignment="1">
      <alignment horizontal="left" vertical="center"/>
    </xf>
    <xf numFmtId="167" fontId="7" fillId="0" borderId="7" xfId="0" applyNumberFormat="1" applyFont="1" applyBorder="1" applyAlignment="1">
      <alignment horizontal="left" vertical="center"/>
    </xf>
    <xf numFmtId="3" fontId="7" fillId="0" borderId="28" xfId="0" applyNumberFormat="1" applyFont="1" applyBorder="1" applyAlignment="1">
      <alignment horizontal="right" vertical="center"/>
    </xf>
    <xf numFmtId="164" fontId="2" fillId="0" borderId="0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0" fontId="8" fillId="0" borderId="0" xfId="1" applyNumberFormat="1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3" fontId="0" fillId="0" borderId="0" xfId="0" applyNumberFormat="1"/>
    <xf numFmtId="165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38" fontId="0" fillId="0" borderId="10" xfId="0" applyNumberFormat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4" fontId="2" fillId="0" borderId="0" xfId="0" applyNumberFormat="1" applyFont="1"/>
    <xf numFmtId="0" fontId="0" fillId="0" borderId="10" xfId="0" applyBorder="1" applyAlignment="1">
      <alignment horizontal="center" vertical="center" wrapText="1"/>
    </xf>
    <xf numFmtId="10" fontId="5" fillId="0" borderId="0" xfId="2" applyNumberFormat="1" applyFont="1"/>
    <xf numFmtId="4" fontId="7" fillId="0" borderId="10" xfId="0" applyNumberFormat="1" applyFont="1" applyBorder="1" applyAlignment="1">
      <alignment horizontal="center" vertical="center"/>
    </xf>
    <xf numFmtId="164" fontId="8" fillId="0" borderId="41" xfId="2" applyNumberFormat="1" applyFont="1" applyBorder="1" applyAlignment="1">
      <alignment horizontal="center" vertical="center"/>
    </xf>
    <xf numFmtId="164" fontId="8" fillId="0" borderId="10" xfId="2" applyNumberFormat="1" applyFont="1" applyBorder="1" applyAlignment="1">
      <alignment horizontal="center" vertical="center"/>
    </xf>
    <xf numFmtId="165" fontId="7" fillId="0" borderId="42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4" fontId="8" fillId="0" borderId="41" xfId="0" applyNumberFormat="1" applyFont="1" applyBorder="1" applyAlignment="1">
      <alignment horizontal="center" vertical="center"/>
    </xf>
    <xf numFmtId="164" fontId="8" fillId="0" borderId="28" xfId="2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left" vertical="center" wrapText="1"/>
    </xf>
    <xf numFmtId="164" fontId="8" fillId="6" borderId="12" xfId="2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4" fontId="10" fillId="0" borderId="28" xfId="0" applyNumberFormat="1" applyFont="1" applyBorder="1" applyAlignment="1">
      <alignment horizontal="center" vertical="center"/>
    </xf>
    <xf numFmtId="4" fontId="11" fillId="0" borderId="41" xfId="0" applyNumberFormat="1" applyFont="1" applyBorder="1" applyAlignment="1">
      <alignment horizontal="center" vertical="center"/>
    </xf>
    <xf numFmtId="164" fontId="11" fillId="0" borderId="28" xfId="2" applyNumberFormat="1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40" fontId="0" fillId="0" borderId="0" xfId="0" applyNumberFormat="1"/>
    <xf numFmtId="4" fontId="2" fillId="0" borderId="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0" fontId="0" fillId="0" borderId="6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20" xfId="2" applyNumberFormat="1" applyFont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10" fontId="0" fillId="0" borderId="0" xfId="2" applyNumberFormat="1" applyFont="1"/>
    <xf numFmtId="2" fontId="7" fillId="0" borderId="10" xfId="0" applyNumberFormat="1" applyFont="1" applyBorder="1" applyAlignment="1">
      <alignment horizontal="center" vertical="center"/>
    </xf>
    <xf numFmtId="38" fontId="2" fillId="0" borderId="8" xfId="0" applyNumberFormat="1" applyFont="1" applyBorder="1"/>
    <xf numFmtId="38" fontId="2" fillId="4" borderId="8" xfId="0" applyNumberFormat="1" applyFont="1" applyFill="1" applyBorder="1"/>
    <xf numFmtId="38" fontId="2" fillId="5" borderId="8" xfId="0" applyNumberFormat="1" applyFont="1" applyFill="1" applyBorder="1"/>
    <xf numFmtId="38" fontId="2" fillId="5" borderId="31" xfId="0" applyNumberFormat="1" applyFont="1" applyFill="1" applyBorder="1"/>
    <xf numFmtId="3" fontId="7" fillId="0" borderId="3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right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/>
    </xf>
    <xf numFmtId="3" fontId="7" fillId="0" borderId="20" xfId="0" applyNumberFormat="1" applyFont="1" applyBorder="1" applyAlignment="1">
      <alignment horizontal="center" vertical="center"/>
    </xf>
    <xf numFmtId="3" fontId="7" fillId="0" borderId="46" xfId="0" applyNumberFormat="1" applyFont="1" applyBorder="1" applyAlignment="1">
      <alignment horizontal="right" vertical="center"/>
    </xf>
    <xf numFmtId="3" fontId="7" fillId="0" borderId="47" xfId="0" applyNumberFormat="1" applyFont="1" applyBorder="1" applyAlignment="1">
      <alignment horizontal="right" vertical="center"/>
    </xf>
    <xf numFmtId="3" fontId="8" fillId="0" borderId="16" xfId="1" applyNumberFormat="1" applyFont="1" applyBorder="1"/>
    <xf numFmtId="3" fontId="8" fillId="0" borderId="11" xfId="1" applyNumberFormat="1" applyFont="1" applyBorder="1"/>
    <xf numFmtId="3" fontId="8" fillId="0" borderId="12" xfId="1" applyNumberFormat="1" applyFont="1" applyBorder="1"/>
    <xf numFmtId="3" fontId="8" fillId="0" borderId="10" xfId="0" applyNumberFormat="1" applyFont="1" applyBorder="1" applyAlignment="1">
      <alignment horizontal="center" vertical="center"/>
    </xf>
    <xf numFmtId="3" fontId="8" fillId="0" borderId="43" xfId="0" applyNumberFormat="1" applyFont="1" applyBorder="1" applyAlignment="1">
      <alignment horizontal="center" vertical="center"/>
    </xf>
    <xf numFmtId="3" fontId="11" fillId="0" borderId="43" xfId="0" applyNumberFormat="1" applyFont="1" applyBorder="1" applyAlignment="1">
      <alignment horizontal="center" vertical="center"/>
    </xf>
    <xf numFmtId="3" fontId="0" fillId="0" borderId="33" xfId="0" applyNumberFormat="1" applyBorder="1"/>
    <xf numFmtId="38" fontId="8" fillId="0" borderId="3" xfId="0" applyNumberFormat="1" applyFont="1" applyBorder="1" applyAlignment="1">
      <alignment horizontal="center" vertical="center"/>
    </xf>
    <xf numFmtId="38" fontId="8" fillId="0" borderId="41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38" fontId="0" fillId="0" borderId="32" xfId="0" applyNumberFormat="1" applyBorder="1"/>
    <xf numFmtId="38" fontId="8" fillId="0" borderId="0" xfId="1" applyNumberFormat="1" applyFont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38" fontId="0" fillId="0" borderId="33" xfId="0" applyNumberFormat="1" applyBorder="1"/>
    <xf numFmtId="38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16" xfId="0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4" fillId="0" borderId="16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10" fontId="2" fillId="0" borderId="24" xfId="2" applyNumberFormat="1" applyFont="1" applyBorder="1" applyAlignment="1">
      <alignment horizontal="center" vertical="center"/>
    </xf>
    <xf numFmtId="10" fontId="2" fillId="0" borderId="25" xfId="2" applyNumberFormat="1" applyFont="1" applyBorder="1" applyAlignment="1">
      <alignment horizontal="center" vertical="center"/>
    </xf>
    <xf numFmtId="10" fontId="4" fillId="0" borderId="18" xfId="2" applyNumberFormat="1" applyFont="1" applyBorder="1" applyAlignment="1">
      <alignment horizontal="center" vertical="center"/>
    </xf>
    <xf numFmtId="10" fontId="2" fillId="0" borderId="26" xfId="2" applyNumberFormat="1" applyFont="1" applyBorder="1" applyAlignment="1">
      <alignment horizontal="center" vertical="center"/>
    </xf>
    <xf numFmtId="10" fontId="14" fillId="0" borderId="0" xfId="2" applyNumberFormat="1" applyFont="1"/>
    <xf numFmtId="169" fontId="0" fillId="0" borderId="0" xfId="0" applyNumberFormat="1"/>
    <xf numFmtId="3" fontId="8" fillId="0" borderId="21" xfId="1" applyNumberFormat="1" applyFont="1" applyBorder="1"/>
    <xf numFmtId="3" fontId="7" fillId="0" borderId="32" xfId="0" applyNumberFormat="1" applyFont="1" applyBorder="1" applyAlignment="1">
      <alignment horizontal="right" vertical="center"/>
    </xf>
    <xf numFmtId="3" fontId="7" fillId="0" borderId="54" xfId="0" applyNumberFormat="1" applyFont="1" applyBorder="1" applyAlignment="1">
      <alignment horizontal="right" vertical="center"/>
    </xf>
    <xf numFmtId="3" fontId="7" fillId="0" borderId="55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3" fontId="7" fillId="0" borderId="33" xfId="0" applyNumberFormat="1" applyFont="1" applyBorder="1" applyAlignment="1">
      <alignment horizontal="right" vertical="center"/>
    </xf>
    <xf numFmtId="0" fontId="16" fillId="0" borderId="0" xfId="0" applyFont="1"/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0" fontId="0" fillId="3" borderId="10" xfId="0" applyNumberFormat="1" applyFill="1" applyBorder="1" applyAlignment="1">
      <alignment horizontal="center" vertical="center"/>
    </xf>
    <xf numFmtId="4" fontId="0" fillId="3" borderId="10" xfId="0" applyNumberForma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4" fontId="2" fillId="3" borderId="10" xfId="0" applyNumberFormat="1" applyFont="1" applyFill="1" applyBorder="1" applyAlignment="1">
      <alignment horizontal="center" vertical="center"/>
    </xf>
    <xf numFmtId="38" fontId="2" fillId="3" borderId="10" xfId="0" applyNumberFormat="1" applyFont="1" applyFill="1" applyBorder="1" applyAlignment="1">
      <alignment horizontal="center" vertical="center"/>
    </xf>
    <xf numFmtId="40" fontId="2" fillId="3" borderId="10" xfId="0" applyNumberFormat="1" applyFon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 wrapText="1"/>
    </xf>
    <xf numFmtId="10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18" fillId="0" borderId="0" xfId="0" applyFont="1"/>
    <xf numFmtId="0" fontId="19" fillId="0" borderId="7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0" fontId="18" fillId="0" borderId="7" xfId="0" applyFont="1" applyBorder="1"/>
    <xf numFmtId="38" fontId="19" fillId="0" borderId="8" xfId="0" applyNumberFormat="1" applyFont="1" applyBorder="1"/>
    <xf numFmtId="38" fontId="18" fillId="0" borderId="0" xfId="0" applyNumberFormat="1" applyFont="1"/>
    <xf numFmtId="0" fontId="19" fillId="4" borderId="7" xfId="0" applyFont="1" applyFill="1" applyBorder="1"/>
    <xf numFmtId="38" fontId="19" fillId="4" borderId="8" xfId="0" applyNumberFormat="1" applyFont="1" applyFill="1" applyBorder="1"/>
    <xf numFmtId="0" fontId="19" fillId="5" borderId="7" xfId="0" applyFont="1" applyFill="1" applyBorder="1"/>
    <xf numFmtId="38" fontId="19" fillId="5" borderId="8" xfId="0" applyNumberFormat="1" applyFont="1" applyFill="1" applyBorder="1"/>
    <xf numFmtId="10" fontId="20" fillId="0" borderId="0" xfId="2" applyNumberFormat="1" applyFont="1"/>
    <xf numFmtId="40" fontId="18" fillId="0" borderId="0" xfId="0" applyNumberFormat="1" applyFont="1"/>
    <xf numFmtId="0" fontId="19" fillId="0" borderId="7" xfId="0" applyFont="1" applyBorder="1" applyAlignment="1">
      <alignment horizontal="center"/>
    </xf>
    <xf numFmtId="0" fontId="19" fillId="5" borderId="34" xfId="0" applyFont="1" applyFill="1" applyBorder="1"/>
    <xf numFmtId="38" fontId="19" fillId="5" borderId="31" xfId="0" applyNumberFormat="1" applyFont="1" applyFill="1" applyBorder="1"/>
    <xf numFmtId="0" fontId="21" fillId="0" borderId="0" xfId="0" applyFont="1"/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7" xfId="0" applyFont="1" applyBorder="1"/>
    <xf numFmtId="168" fontId="24" fillId="0" borderId="1" xfId="1" applyNumberFormat="1" applyFont="1" applyBorder="1" applyAlignment="1">
      <alignment horizontal="center"/>
    </xf>
    <xf numFmtId="10" fontId="24" fillId="0" borderId="1" xfId="2" applyNumberFormat="1" applyFont="1" applyBorder="1" applyAlignment="1">
      <alignment horizontal="center"/>
    </xf>
    <xf numFmtId="9" fontId="25" fillId="0" borderId="8" xfId="0" applyNumberFormat="1" applyFont="1" applyBorder="1" applyAlignment="1">
      <alignment horizontal="center" vertical="center"/>
    </xf>
    <xf numFmtId="9" fontId="21" fillId="0" borderId="0" xfId="2" applyFont="1"/>
    <xf numFmtId="0" fontId="23" fillId="0" borderId="9" xfId="0" applyFont="1" applyBorder="1"/>
    <xf numFmtId="168" fontId="24" fillId="0" borderId="10" xfId="0" applyNumberFormat="1" applyFont="1" applyBorder="1" applyAlignment="1">
      <alignment horizontal="center"/>
    </xf>
    <xf numFmtId="10" fontId="24" fillId="0" borderId="10" xfId="2" applyNumberFormat="1" applyFont="1" applyBorder="1" applyAlignment="1">
      <alignment horizontal="center"/>
    </xf>
    <xf numFmtId="0" fontId="25" fillId="0" borderId="20" xfId="0" applyFont="1" applyBorder="1" applyAlignment="1">
      <alignment horizontal="center" vertical="center"/>
    </xf>
    <xf numFmtId="0" fontId="22" fillId="0" borderId="11" xfId="0" applyFont="1" applyBorder="1"/>
    <xf numFmtId="168" fontId="22" fillId="0" borderId="12" xfId="0" applyNumberFormat="1" applyFont="1" applyBorder="1" applyAlignment="1">
      <alignment horizontal="center"/>
    </xf>
    <xf numFmtId="10" fontId="22" fillId="0" borderId="12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3" fontId="21" fillId="0" borderId="0" xfId="0" applyNumberFormat="1" applyFont="1"/>
    <xf numFmtId="0" fontId="4" fillId="0" borderId="14" xfId="0" applyFont="1" applyBorder="1" applyAlignment="1">
      <alignment horizontal="center" vertical="center" wrapText="1"/>
    </xf>
    <xf numFmtId="168" fontId="8" fillId="0" borderId="15" xfId="1" applyNumberFormat="1" applyFont="1" applyBorder="1" applyAlignment="1">
      <alignment horizontal="center" vertical="center"/>
    </xf>
    <xf numFmtId="10" fontId="8" fillId="0" borderId="2" xfId="2" applyNumberFormat="1" applyFont="1" applyBorder="1" applyAlignment="1">
      <alignment horizontal="center" vertical="center"/>
    </xf>
    <xf numFmtId="43" fontId="4" fillId="0" borderId="16" xfId="0" applyNumberFormat="1" applyFont="1" applyBorder="1" applyAlignment="1">
      <alignment horizontal="center" vertical="center"/>
    </xf>
    <xf numFmtId="0" fontId="27" fillId="0" borderId="0" xfId="0" applyFont="1"/>
    <xf numFmtId="0" fontId="26" fillId="0" borderId="35" xfId="0" applyFont="1" applyBorder="1" applyAlignment="1">
      <alignment horizontal="center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165" fontId="27" fillId="0" borderId="4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4" fontId="27" fillId="0" borderId="5" xfId="0" applyNumberFormat="1" applyFont="1" applyBorder="1" applyAlignment="1">
      <alignment horizontal="center" vertical="center"/>
    </xf>
    <xf numFmtId="3" fontId="29" fillId="0" borderId="5" xfId="0" applyNumberFormat="1" applyFont="1" applyBorder="1" applyAlignment="1">
      <alignment horizontal="center" vertical="center"/>
    </xf>
    <xf numFmtId="4" fontId="29" fillId="0" borderId="5" xfId="0" applyNumberFormat="1" applyFont="1" applyBorder="1" applyAlignment="1">
      <alignment horizontal="center" vertical="center"/>
    </xf>
    <xf numFmtId="38" fontId="29" fillId="0" borderId="5" xfId="0" applyNumberFormat="1" applyFont="1" applyBorder="1" applyAlignment="1">
      <alignment horizontal="center" vertical="center"/>
    </xf>
    <xf numFmtId="164" fontId="29" fillId="0" borderId="5" xfId="2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left" vertical="center" wrapText="1"/>
    </xf>
    <xf numFmtId="165" fontId="27" fillId="0" borderId="7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" fontId="27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4" fontId="29" fillId="0" borderId="1" xfId="0" applyNumberFormat="1" applyFont="1" applyBorder="1" applyAlignment="1">
      <alignment horizontal="center" vertical="center"/>
    </xf>
    <xf numFmtId="38" fontId="29" fillId="0" borderId="1" xfId="0" applyNumberFormat="1" applyFont="1" applyBorder="1" applyAlignment="1">
      <alignment horizontal="center" vertical="center"/>
    </xf>
    <xf numFmtId="164" fontId="29" fillId="0" borderId="1" xfId="2" applyNumberFormat="1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 wrapText="1"/>
    </xf>
    <xf numFmtId="165" fontId="27" fillId="0" borderId="9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4" fontId="27" fillId="0" borderId="10" xfId="0" applyNumberFormat="1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38" fontId="29" fillId="0" borderId="10" xfId="0" applyNumberFormat="1" applyFont="1" applyBorder="1" applyAlignment="1">
      <alignment horizontal="center" vertical="center"/>
    </xf>
    <xf numFmtId="164" fontId="29" fillId="0" borderId="10" xfId="2" applyNumberFormat="1" applyFont="1" applyBorder="1" applyAlignment="1">
      <alignment horizontal="center" vertical="center"/>
    </xf>
    <xf numFmtId="0" fontId="30" fillId="0" borderId="20" xfId="0" applyFont="1" applyBorder="1" applyAlignment="1">
      <alignment horizontal="left" vertical="center" wrapText="1"/>
    </xf>
    <xf numFmtId="167" fontId="27" fillId="0" borderId="9" xfId="0" applyNumberFormat="1" applyFont="1" applyBorder="1" applyAlignment="1">
      <alignment horizontal="center" vertical="center"/>
    </xf>
    <xf numFmtId="167" fontId="27" fillId="0" borderId="7" xfId="0" applyNumberFormat="1" applyFont="1" applyBorder="1" applyAlignment="1">
      <alignment horizontal="center" vertical="center"/>
    </xf>
    <xf numFmtId="38" fontId="31" fillId="0" borderId="10" xfId="0" applyNumberFormat="1" applyFont="1" applyBorder="1" applyAlignment="1">
      <alignment horizontal="center" vertical="center"/>
    </xf>
    <xf numFmtId="167" fontId="27" fillId="0" borderId="34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4" fontId="27" fillId="0" borderId="33" xfId="0" applyNumberFormat="1" applyFont="1" applyBorder="1" applyAlignment="1">
      <alignment horizontal="center" vertical="center"/>
    </xf>
    <xf numFmtId="4" fontId="29" fillId="0" borderId="33" xfId="0" applyNumberFormat="1" applyFont="1" applyBorder="1" applyAlignment="1">
      <alignment horizontal="center" vertical="center"/>
    </xf>
    <xf numFmtId="40" fontId="29" fillId="0" borderId="33" xfId="0" applyNumberFormat="1" applyFont="1" applyBorder="1" applyAlignment="1">
      <alignment horizontal="center" vertical="center"/>
    </xf>
    <xf numFmtId="164" fontId="29" fillId="0" borderId="33" xfId="2" applyNumberFormat="1" applyFont="1" applyBorder="1" applyAlignment="1">
      <alignment horizontal="center" vertical="center"/>
    </xf>
    <xf numFmtId="0" fontId="30" fillId="0" borderId="31" xfId="0" applyFont="1" applyBorder="1" applyAlignment="1">
      <alignment horizontal="left" vertical="center" wrapText="1"/>
    </xf>
    <xf numFmtId="4" fontId="29" fillId="0" borderId="0" xfId="0" applyNumberFormat="1" applyFont="1" applyAlignment="1">
      <alignment horizontal="center" vertical="center"/>
    </xf>
    <xf numFmtId="40" fontId="29" fillId="0" borderId="41" xfId="0" applyNumberFormat="1" applyFont="1" applyBorder="1" applyAlignment="1">
      <alignment horizontal="center" vertical="center"/>
    </xf>
    <xf numFmtId="164" fontId="29" fillId="0" borderId="0" xfId="2" applyNumberFormat="1" applyFont="1" applyBorder="1" applyAlignment="1">
      <alignment horizontal="center" vertical="center"/>
    </xf>
    <xf numFmtId="4" fontId="27" fillId="0" borderId="0" xfId="0" applyNumberFormat="1" applyFont="1"/>
    <xf numFmtId="0" fontId="2" fillId="5" borderId="9" xfId="0" applyFont="1" applyFill="1" applyBorder="1"/>
    <xf numFmtId="38" fontId="2" fillId="5" borderId="20" xfId="0" applyNumberFormat="1" applyFont="1" applyFill="1" applyBorder="1"/>
    <xf numFmtId="0" fontId="2" fillId="5" borderId="4" xfId="0" applyFont="1" applyFill="1" applyBorder="1"/>
    <xf numFmtId="38" fontId="2" fillId="5" borderId="6" xfId="0" applyNumberFormat="1" applyFont="1" applyFill="1" applyBorder="1"/>
    <xf numFmtId="165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165" fontId="33" fillId="0" borderId="9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4" fontId="33" fillId="0" borderId="10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38" fontId="4" fillId="0" borderId="41" xfId="0" applyNumberFormat="1" applyFont="1" applyBorder="1" applyAlignment="1">
      <alignment horizontal="center" vertical="center"/>
    </xf>
    <xf numFmtId="164" fontId="4" fillId="0" borderId="41" xfId="2" applyNumberFormat="1" applyFont="1" applyBorder="1" applyAlignment="1">
      <alignment horizontal="center" vertical="center"/>
    </xf>
    <xf numFmtId="164" fontId="4" fillId="0" borderId="10" xfId="2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38" fontId="4" fillId="0" borderId="16" xfId="0" applyNumberFormat="1" applyFont="1" applyBorder="1" applyAlignment="1">
      <alignment horizontal="center" vertical="center"/>
    </xf>
    <xf numFmtId="164" fontId="4" fillId="0" borderId="16" xfId="2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38" fontId="32" fillId="0" borderId="0" xfId="1" applyNumberFormat="1" applyFont="1" applyAlignment="1">
      <alignment horizontal="center" vertical="center"/>
    </xf>
    <xf numFmtId="10" fontId="35" fillId="0" borderId="40" xfId="2" applyNumberFormat="1" applyFont="1" applyBorder="1" applyAlignment="1">
      <alignment horizontal="center" vertical="center"/>
    </xf>
    <xf numFmtId="0" fontId="36" fillId="0" borderId="0" xfId="0" applyFont="1"/>
    <xf numFmtId="3" fontId="36" fillId="0" borderId="0" xfId="0" applyNumberFormat="1" applyFont="1"/>
    <xf numFmtId="167" fontId="0" fillId="0" borderId="9" xfId="0" applyNumberForma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0" fillId="0" borderId="57" xfId="0" applyBorder="1"/>
    <xf numFmtId="0" fontId="3" fillId="0" borderId="13" xfId="0" applyFont="1" applyBorder="1" applyAlignment="1">
      <alignment horizontal="center" vertical="center" wrapText="1"/>
    </xf>
    <xf numFmtId="164" fontId="4" fillId="0" borderId="17" xfId="2" applyNumberFormat="1" applyFont="1" applyBorder="1" applyAlignment="1">
      <alignment horizontal="center" vertical="center"/>
    </xf>
    <xf numFmtId="164" fontId="4" fillId="0" borderId="44" xfId="2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4" fillId="0" borderId="13" xfId="2" applyNumberFormat="1" applyFont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0" fontId="38" fillId="0" borderId="0" xfId="0" applyFont="1"/>
    <xf numFmtId="0" fontId="39" fillId="0" borderId="0" xfId="3" applyNumberFormat="1" applyFont="1" applyFill="1" applyBorder="1" applyAlignment="1" applyProtection="1">
      <alignment horizontal="left" vertical="top" wrapText="1"/>
    </xf>
    <xf numFmtId="167" fontId="40" fillId="0" borderId="0" xfId="3" applyNumberFormat="1" applyFont="1" applyFill="1" applyBorder="1" applyAlignment="1" applyProtection="1">
      <alignment horizontal="left" vertical="top" wrapText="1"/>
    </xf>
    <xf numFmtId="0" fontId="40" fillId="0" borderId="0" xfId="3" applyNumberFormat="1" applyFont="1" applyFill="1" applyBorder="1" applyAlignment="1" applyProtection="1">
      <alignment horizontal="left" vertical="top" wrapText="1"/>
    </xf>
    <xf numFmtId="0" fontId="43" fillId="7" borderId="58" xfId="3" applyNumberFormat="1" applyFont="1" applyFill="1" applyBorder="1" applyAlignment="1" applyProtection="1">
      <alignment horizontal="center" vertical="center" wrapText="1"/>
    </xf>
    <xf numFmtId="0" fontId="43" fillId="7" borderId="59" xfId="3" applyNumberFormat="1" applyFont="1" applyFill="1" applyBorder="1" applyAlignment="1" applyProtection="1">
      <alignment horizontal="center" vertical="center" wrapText="1"/>
    </xf>
    <xf numFmtId="0" fontId="43" fillId="7" borderId="59" xfId="3" applyNumberFormat="1" applyFont="1" applyFill="1" applyBorder="1" applyAlignment="1" applyProtection="1">
      <alignment horizontal="left" vertical="center" wrapText="1"/>
    </xf>
    <xf numFmtId="0" fontId="43" fillId="7" borderId="59" xfId="3" applyNumberFormat="1" applyFont="1" applyFill="1" applyBorder="1" applyAlignment="1" applyProtection="1">
      <alignment horizontal="right" vertical="center" wrapText="1"/>
    </xf>
    <xf numFmtId="0" fontId="43" fillId="7" borderId="60" xfId="3" applyNumberFormat="1" applyFont="1" applyFill="1" applyBorder="1" applyAlignment="1" applyProtection="1">
      <alignment horizontal="right" vertical="center" wrapText="1"/>
    </xf>
    <xf numFmtId="43" fontId="40" fillId="8" borderId="64" xfId="1" applyFont="1" applyFill="1" applyBorder="1" applyAlignment="1" applyProtection="1">
      <alignment horizontal="right" vertical="center" wrapText="1"/>
    </xf>
    <xf numFmtId="0" fontId="40" fillId="8" borderId="65" xfId="0" applyFont="1" applyFill="1" applyBorder="1" applyAlignment="1">
      <alignment horizontal="center" vertical="center" wrapText="1"/>
    </xf>
    <xf numFmtId="0" fontId="40" fillId="8" borderId="65" xfId="0" applyFont="1" applyFill="1" applyBorder="1" applyAlignment="1">
      <alignment horizontal="center" vertical="top" wrapText="1"/>
    </xf>
    <xf numFmtId="0" fontId="40" fillId="8" borderId="65" xfId="0" applyFont="1" applyFill="1" applyBorder="1" applyAlignment="1">
      <alignment horizontal="left" vertical="top" wrapText="1"/>
    </xf>
    <xf numFmtId="0" fontId="40" fillId="8" borderId="65" xfId="0" applyFont="1" applyFill="1" applyBorder="1" applyAlignment="1">
      <alignment horizontal="right" vertical="top" wrapText="1"/>
    </xf>
    <xf numFmtId="0" fontId="4" fillId="0" borderId="0" xfId="0" applyFont="1"/>
    <xf numFmtId="43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6" borderId="7" xfId="0" applyFont="1" applyFill="1" applyBorder="1"/>
    <xf numFmtId="0" fontId="4" fillId="6" borderId="1" xfId="0" applyFont="1" applyFill="1" applyBorder="1"/>
    <xf numFmtId="43" fontId="2" fillId="0" borderId="8" xfId="0" applyNumberFormat="1" applyFont="1" applyBorder="1"/>
    <xf numFmtId="43" fontId="0" fillId="0" borderId="33" xfId="1" applyFont="1" applyBorder="1"/>
    <xf numFmtId="43" fontId="2" fillId="0" borderId="31" xfId="0" applyNumberFormat="1" applyFont="1" applyBorder="1"/>
    <xf numFmtId="43" fontId="0" fillId="0" borderId="0" xfId="1" applyFont="1" applyBorder="1"/>
    <xf numFmtId="43" fontId="2" fillId="0" borderId="0" xfId="0" applyNumberFormat="1" applyFont="1"/>
    <xf numFmtId="0" fontId="2" fillId="0" borderId="11" xfId="0" applyFont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5" fontId="13" fillId="0" borderId="30" xfId="0" applyNumberFormat="1" applyFont="1" applyBorder="1" applyAlignment="1">
      <alignment horizontal="center" vertical="center"/>
    </xf>
    <xf numFmtId="165" fontId="13" fillId="0" borderId="21" xfId="0" applyNumberFormat="1" applyFont="1" applyBorder="1" applyAlignment="1">
      <alignment horizontal="center" vertical="center"/>
    </xf>
    <xf numFmtId="165" fontId="13" fillId="0" borderId="4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42" fillId="0" borderId="0" xfId="3" applyNumberFormat="1" applyFont="1" applyFill="1" applyBorder="1" applyAlignment="1" applyProtection="1">
      <alignment horizontal="left" vertical="top" wrapText="1"/>
    </xf>
    <xf numFmtId="0" fontId="12" fillId="0" borderId="0" xfId="3" applyNumberFormat="1" applyFont="1" applyFill="1" applyBorder="1" applyAlignment="1"/>
    <xf numFmtId="0" fontId="44" fillId="8" borderId="61" xfId="3" applyNumberFormat="1" applyFont="1" applyFill="1" applyBorder="1" applyAlignment="1" applyProtection="1">
      <alignment horizontal="center" vertical="center" wrapText="1"/>
    </xf>
    <xf numFmtId="0" fontId="44" fillId="8" borderId="62" xfId="3" applyNumberFormat="1" applyFont="1" applyFill="1" applyBorder="1" applyAlignment="1" applyProtection="1">
      <alignment horizontal="center" vertical="center" wrapText="1"/>
    </xf>
    <xf numFmtId="0" fontId="44" fillId="8" borderId="63" xfId="3" applyNumberFormat="1" applyFont="1" applyFill="1" applyBorder="1" applyAlignment="1" applyProtection="1">
      <alignment horizontal="center" vertical="center" wrapText="1"/>
    </xf>
    <xf numFmtId="0" fontId="40" fillId="0" borderId="0" xfId="3" applyNumberFormat="1" applyFont="1" applyFill="1" applyBorder="1" applyAlignment="1" applyProtection="1">
      <alignment horizontal="left" vertical="top" wrapText="1"/>
    </xf>
    <xf numFmtId="0" fontId="41" fillId="0" borderId="0" xfId="3" applyNumberFormat="1" applyFont="1" applyFill="1" applyBorder="1" applyAlignment="1" applyProtection="1">
      <alignment horizontal="center" vertical="top" wrapText="1"/>
    </xf>
    <xf numFmtId="39" fontId="2" fillId="0" borderId="12" xfId="1" applyNumberFormat="1" applyFont="1" applyBorder="1" applyAlignment="1">
      <alignment horizontal="center" vertical="center"/>
    </xf>
    <xf numFmtId="39" fontId="2" fillId="0" borderId="13" xfId="1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19050</xdr:rowOff>
    </xdr:from>
    <xdr:ext cx="1685925" cy="628650"/>
    <xdr:pic>
      <xdr:nvPicPr>
        <xdr:cNvPr id="2" name="Picture 1">
          <a:extLst>
            <a:ext uri="{FF2B5EF4-FFF2-40B4-BE49-F238E27FC236}">
              <a16:creationId xmlns:a16="http://schemas.microsoft.com/office/drawing/2014/main" id="{72D7D225-55D4-4A3C-A1ED-FD099541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9050"/>
          <a:ext cx="16859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ropbox/Family%20Assets/2017-12-31%20Account%20Summary%20-%20In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ropbox/Family%20Assets/2017-11-30%20Account%20Summary%20-%20Ind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10-31%20Account%20Summary%20-%20Ind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09-30%20Account%20Summary%20-%20Ind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09-15%20Account%20Summary%20-%20Indi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Reports/Financials/India/2017-08-31%20Financials%20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 01"/>
      <sheetName val="Monthly Profits Accumulative 01"/>
      <sheetName val="Monthly Profits 02"/>
      <sheetName val="Monthly Profits Accumulative 02"/>
      <sheetName val="Nifty Growth Accum"/>
      <sheetName val="Nifty Growth"/>
    </sheetNames>
    <sheetDataSet>
      <sheetData sheetId="0">
        <row r="33">
          <cell r="B33">
            <v>468651.04999999981</v>
          </cell>
          <cell r="E33">
            <v>775768.24999999953</v>
          </cell>
          <cell r="G33">
            <v>89690.788672199938</v>
          </cell>
          <cell r="J33">
            <v>476129.59999999963</v>
          </cell>
        </row>
        <row r="36">
          <cell r="J36">
            <v>-43143.099999999919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31">
          <cell r="B31">
            <v>500158.19999999972</v>
          </cell>
          <cell r="E31">
            <v>-868654.64999999991</v>
          </cell>
          <cell r="G31">
            <v>6297.2643960001878</v>
          </cell>
          <cell r="J31">
            <v>221062.70000000019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 refreshError="1">
        <row r="29">
          <cell r="B29">
            <v>497905.35000000009</v>
          </cell>
          <cell r="E29">
            <v>1385904.9</v>
          </cell>
          <cell r="G29">
            <v>95763.647789999843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27">
          <cell r="E27">
            <v>297172.25000000012</v>
          </cell>
          <cell r="G27">
            <v>940.30107379960828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25">
          <cell r="B25">
            <v>185925.44999999995</v>
          </cell>
          <cell r="E25">
            <v>568196.80000000028</v>
          </cell>
          <cell r="G25">
            <v>59093.734843400191</v>
          </cell>
        </row>
        <row r="26">
          <cell r="E26">
            <v>-471908.20310000022</v>
          </cell>
          <cell r="G26">
            <v>-104996.00444799988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>
        <row r="7">
          <cell r="I7">
            <v>20000000</v>
          </cell>
        </row>
        <row r="89">
          <cell r="F89">
            <v>3306.3212000000058</v>
          </cell>
          <cell r="G89"/>
        </row>
        <row r="90">
          <cell r="F90">
            <v>3546.2473999999929</v>
          </cell>
          <cell r="G90"/>
        </row>
        <row r="91">
          <cell r="F91"/>
          <cell r="G91"/>
        </row>
        <row r="92">
          <cell r="F92"/>
          <cell r="G92">
            <v>118000</v>
          </cell>
        </row>
        <row r="93">
          <cell r="F93">
            <v>14040.574299999978</v>
          </cell>
          <cell r="G93"/>
        </row>
        <row r="94">
          <cell r="F94">
            <v>3461.8060999999871</v>
          </cell>
          <cell r="G94"/>
        </row>
        <row r="95">
          <cell r="F95">
            <v>3502.7261999999755</v>
          </cell>
          <cell r="G95"/>
        </row>
        <row r="96">
          <cell r="F96"/>
          <cell r="G96"/>
        </row>
        <row r="97">
          <cell r="F97"/>
          <cell r="G97"/>
        </row>
        <row r="98">
          <cell r="F98"/>
          <cell r="G98"/>
        </row>
        <row r="99">
          <cell r="F99">
            <v>3649.3293999999878</v>
          </cell>
          <cell r="G99"/>
        </row>
        <row r="100">
          <cell r="F100">
            <v>3429.7706999999937</v>
          </cell>
          <cell r="G100"/>
        </row>
        <row r="101">
          <cell r="F101">
            <v>11915.559999999939</v>
          </cell>
          <cell r="G101"/>
        </row>
        <row r="102">
          <cell r="F102"/>
          <cell r="G102"/>
        </row>
        <row r="103">
          <cell r="F103">
            <v>3490.476800000004</v>
          </cell>
          <cell r="G103"/>
        </row>
        <row r="104">
          <cell r="F104"/>
          <cell r="G104"/>
        </row>
        <row r="105">
          <cell r="F105">
            <v>7950.5769999999902</v>
          </cell>
          <cell r="G105"/>
        </row>
        <row r="106">
          <cell r="F106"/>
          <cell r="G106"/>
        </row>
        <row r="107">
          <cell r="F107"/>
          <cell r="G107"/>
        </row>
      </sheetData>
      <sheetData sheetId="2"/>
      <sheetData sheetId="3">
        <row r="25">
          <cell r="H25">
            <v>-37163.549999999988</v>
          </cell>
        </row>
        <row r="26">
          <cell r="H26">
            <v>113467.30310000002</v>
          </cell>
        </row>
        <row r="27">
          <cell r="H27">
            <v>104649.29999999999</v>
          </cell>
        </row>
        <row r="28">
          <cell r="H28">
            <v>38782.79999999993</v>
          </cell>
        </row>
      </sheetData>
      <sheetData sheetId="4"/>
      <sheetData sheetId="5">
        <row r="23">
          <cell r="E23">
            <v>2919</v>
          </cell>
        </row>
        <row r="24">
          <cell r="E24">
            <v>8509.2000000000007</v>
          </cell>
        </row>
        <row r="25">
          <cell r="E25">
            <v>11593.8</v>
          </cell>
        </row>
        <row r="26">
          <cell r="E26">
            <v>15390</v>
          </cell>
        </row>
        <row r="27">
          <cell r="E27">
            <v>2950.49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tabSelected="1" workbookViewId="0">
      <selection activeCell="E9" sqref="E9"/>
    </sheetView>
  </sheetViews>
  <sheetFormatPr defaultColWidth="9.140625" defaultRowHeight="15"/>
  <cols>
    <col min="1" max="1" width="0.85546875" style="193" customWidth="1"/>
    <col min="2" max="2" width="12.7109375" style="193" bestFit="1" customWidth="1"/>
    <col min="3" max="3" width="15.140625" style="193" bestFit="1" customWidth="1"/>
    <col min="4" max="4" width="14.85546875" style="193" bestFit="1" customWidth="1"/>
    <col min="5" max="5" width="21" style="193" bestFit="1" customWidth="1"/>
    <col min="6" max="6" width="14" style="193" customWidth="1"/>
    <col min="7" max="16384" width="9.140625" style="193"/>
  </cols>
  <sheetData>
    <row r="1" spans="2:8" ht="4.5" customHeight="1" thickBot="1"/>
    <row r="2" spans="2:8" ht="59.25" customHeight="1">
      <c r="B2" s="194" t="s">
        <v>99</v>
      </c>
      <c r="C2" s="195" t="s">
        <v>100</v>
      </c>
      <c r="D2" s="195" t="s">
        <v>101</v>
      </c>
      <c r="E2" s="211" t="s">
        <v>232</v>
      </c>
      <c r="F2" s="196" t="s">
        <v>103</v>
      </c>
    </row>
    <row r="3" spans="2:8" ht="15.75">
      <c r="B3" s="197" t="s">
        <v>96</v>
      </c>
      <c r="C3" s="198">
        <f>SUMIF('Invested Stocks'!$I$4:$I$38,"Short Term",'Invested Stocks'!$E$4:$E$38)</f>
        <v>11255639.85</v>
      </c>
      <c r="D3" s="199">
        <f>C3/$C$7</f>
        <v>0.37839845294032065</v>
      </c>
      <c r="E3" s="212">
        <f>(F3-D3)*$C$7</f>
        <v>2129821.6738050031</v>
      </c>
      <c r="F3" s="200">
        <v>0.45</v>
      </c>
      <c r="H3" s="201"/>
    </row>
    <row r="4" spans="2:8" ht="15.75">
      <c r="B4" s="197" t="s">
        <v>97</v>
      </c>
      <c r="C4" s="198">
        <f>SUMIF('Invested Stocks'!$I$4:$I$38,"Mid Term",'Invested Stocks'!$E$4:$E$38)</f>
        <v>6252873.0999999996</v>
      </c>
      <c r="D4" s="199">
        <f>C4/$C$7</f>
        <v>0.21021261687509901</v>
      </c>
      <c r="E4" s="212">
        <f>(F4-D4)*$C$7</f>
        <v>1183494.4132250014</v>
      </c>
      <c r="F4" s="200">
        <v>0.25</v>
      </c>
      <c r="H4" s="201"/>
    </row>
    <row r="5" spans="2:8" ht="15.75">
      <c r="B5" s="197" t="s">
        <v>98</v>
      </c>
      <c r="C5" s="198">
        <f>SUMIF('Invested Stocks'!$I$4:$I$38,"Long Term",'Invested Stocks'!$E$4:$E$38)</f>
        <v>9181580.1030999999</v>
      </c>
      <c r="D5" s="199">
        <f>C5/$C$7</f>
        <v>0.30867154181027479</v>
      </c>
      <c r="E5" s="212">
        <f>(F5-D5)*$C$7</f>
        <v>-257939.08722999925</v>
      </c>
      <c r="F5" s="200">
        <v>0.3</v>
      </c>
      <c r="H5" s="201"/>
    </row>
    <row r="6" spans="2:8" ht="16.5" thickBot="1">
      <c r="B6" s="202" t="s">
        <v>102</v>
      </c>
      <c r="C6" s="203">
        <f>'Cash Movement'!J226</f>
        <v>3055376.9998000078</v>
      </c>
      <c r="D6" s="204">
        <f>C6/$C$7</f>
        <v>0.10271738837430565</v>
      </c>
      <c r="E6" s="213" t="s">
        <v>104</v>
      </c>
      <c r="F6" s="205" t="s">
        <v>104</v>
      </c>
      <c r="H6" s="201"/>
    </row>
    <row r="7" spans="2:8" ht="18" thickBot="1">
      <c r="B7" s="206" t="s">
        <v>1</v>
      </c>
      <c r="C7" s="207">
        <f>C3+C4+C5+C6</f>
        <v>29745470.052900005</v>
      </c>
      <c r="D7" s="208">
        <f>SUM(D3:D6)</f>
        <v>1</v>
      </c>
      <c r="E7" s="214">
        <f>SUM(E3:E6)</f>
        <v>3055376.9998000055</v>
      </c>
      <c r="F7" s="209" t="s">
        <v>104</v>
      </c>
    </row>
    <row r="9" spans="2:8">
      <c r="C9" s="210"/>
    </row>
    <row r="10" spans="2:8">
      <c r="C10" s="210"/>
    </row>
    <row r="11" spans="2:8">
      <c r="C11" s="210"/>
    </row>
    <row r="12" spans="2:8">
      <c r="C12" s="210"/>
    </row>
    <row r="13" spans="2:8">
      <c r="C13" s="210"/>
      <c r="D13" s="210"/>
      <c r="E13" s="210"/>
    </row>
    <row r="14" spans="2:8">
      <c r="C14" s="210"/>
    </row>
  </sheetData>
  <phoneticPr fontId="37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"/>
  <sheetViews>
    <sheetView zoomScaleNormal="100" workbookViewId="0">
      <selection activeCell="A21" sqref="A21"/>
    </sheetView>
  </sheetViews>
  <sheetFormatPr defaultRowHeight="15"/>
  <cols>
    <col min="1" max="1" width="26.7109375" customWidth="1"/>
    <col min="2" max="2" width="19" customWidth="1"/>
    <col min="3" max="3" width="8.5703125" bestFit="1" customWidth="1"/>
    <col min="5" max="5" width="26.7109375" customWidth="1"/>
    <col min="6" max="6" width="19" customWidth="1"/>
    <col min="7" max="7" width="7.140625" bestFit="1" customWidth="1"/>
    <col min="8" max="9" width="2.85546875" customWidth="1"/>
    <col min="10" max="10" width="26.7109375" customWidth="1"/>
    <col min="11" max="11" width="19" customWidth="1"/>
    <col min="12" max="12" width="7.7109375" bestFit="1" customWidth="1"/>
    <col min="13" max="14" width="3.28515625" customWidth="1"/>
    <col min="15" max="15" width="26.7109375" customWidth="1"/>
    <col min="16" max="16" width="18" customWidth="1"/>
    <col min="17" max="17" width="8.28515625" customWidth="1"/>
    <col min="18" max="19" width="6.140625" customWidth="1"/>
    <col min="20" max="20" width="26.7109375" customWidth="1"/>
    <col min="21" max="21" width="18" customWidth="1"/>
  </cols>
  <sheetData>
    <row r="1" spans="1:22" ht="24.75" customHeight="1">
      <c r="A1" s="379" t="s">
        <v>231</v>
      </c>
      <c r="B1" s="380"/>
      <c r="E1" s="379" t="s">
        <v>225</v>
      </c>
      <c r="F1" s="380"/>
      <c r="J1" s="379" t="s">
        <v>175</v>
      </c>
      <c r="K1" s="380"/>
      <c r="O1" s="379" t="s">
        <v>174</v>
      </c>
      <c r="P1" s="380"/>
      <c r="T1" s="379" t="s">
        <v>181</v>
      </c>
      <c r="U1" s="383"/>
    </row>
    <row r="2" spans="1:22" ht="26.25" customHeight="1">
      <c r="A2" s="381"/>
      <c r="B2" s="382"/>
      <c r="E2" s="381"/>
      <c r="F2" s="382"/>
      <c r="J2" s="381"/>
      <c r="K2" s="382"/>
      <c r="O2" s="381"/>
      <c r="P2" s="382"/>
      <c r="T2" s="384"/>
      <c r="U2" s="385"/>
    </row>
    <row r="3" spans="1:22" ht="19.5" customHeight="1">
      <c r="A3" s="33" t="s">
        <v>40</v>
      </c>
      <c r="B3" s="32"/>
      <c r="E3" s="33" t="s">
        <v>40</v>
      </c>
      <c r="F3" s="32"/>
      <c r="J3" s="33" t="s">
        <v>40</v>
      </c>
      <c r="K3" s="32"/>
      <c r="O3" s="33" t="s">
        <v>40</v>
      </c>
      <c r="P3" s="32"/>
      <c r="T3" s="33" t="s">
        <v>40</v>
      </c>
      <c r="U3" s="32"/>
    </row>
    <row r="4" spans="1:22" ht="19.5" customHeight="1">
      <c r="A4" s="31" t="s">
        <v>121</v>
      </c>
      <c r="B4" s="117">
        <f>'P&amp;L Monthly'!J4+'P&amp;L Monthly'!F4+'P&amp;L Monthly'!B4</f>
        <v>1293.0184999999997</v>
      </c>
      <c r="E4" s="31" t="s">
        <v>121</v>
      </c>
      <c r="F4" s="117">
        <f>'P&amp;L Monthly'!V4+'P&amp;L Monthly'!N4+'P&amp;L Monthly'!R4</f>
        <v>393.46084690000026</v>
      </c>
      <c r="J4" s="31" t="s">
        <v>121</v>
      </c>
      <c r="K4" s="117">
        <v>-321.30934999999994</v>
      </c>
      <c r="O4" s="31" t="s">
        <v>121</v>
      </c>
      <c r="P4" s="117">
        <v>801.64104999999984</v>
      </c>
      <c r="T4" s="31" t="s">
        <v>121</v>
      </c>
      <c r="U4" s="117">
        <v>-495.0756999999997</v>
      </c>
    </row>
    <row r="5" spans="1:22" ht="19.5" customHeight="1">
      <c r="A5" s="31" t="s">
        <v>267</v>
      </c>
      <c r="B5" s="117">
        <f>'P&amp;L Monthly'!J5+'P&amp;L Monthly'!F5+'P&amp;L Monthly'!B5</f>
        <v>697.19229999999982</v>
      </c>
      <c r="E5" s="31" t="s">
        <v>267</v>
      </c>
      <c r="F5" s="117">
        <v>0</v>
      </c>
      <c r="J5" s="31" t="s">
        <v>267</v>
      </c>
      <c r="K5" s="117">
        <v>0</v>
      </c>
      <c r="O5" s="31" t="s">
        <v>267</v>
      </c>
      <c r="P5" s="117">
        <v>0</v>
      </c>
      <c r="T5" s="31" t="s">
        <v>267</v>
      </c>
      <c r="U5" s="117">
        <v>0</v>
      </c>
    </row>
    <row r="6" spans="1:22" ht="19.5" customHeight="1">
      <c r="A6" s="31" t="s">
        <v>298</v>
      </c>
      <c r="B6" s="117">
        <f>'P&amp;L Monthly'!B6+'P&amp;L Monthly'!F6+'P&amp;L Monthly'!J6</f>
        <v>-43.143099999999919</v>
      </c>
      <c r="E6" s="31" t="s">
        <v>298</v>
      </c>
      <c r="F6" s="117">
        <v>0</v>
      </c>
      <c r="J6" s="31" t="s">
        <v>298</v>
      </c>
      <c r="K6" s="117"/>
      <c r="O6" s="31" t="s">
        <v>298</v>
      </c>
      <c r="P6" s="117"/>
      <c r="T6" s="31"/>
      <c r="U6" s="117"/>
    </row>
    <row r="7" spans="1:22" ht="19.5" customHeight="1">
      <c r="A7" s="31" t="s">
        <v>122</v>
      </c>
      <c r="B7" s="117">
        <f>'P&amp;L Monthly'!J7+'P&amp;L Monthly'!F7+'P&amp;L Monthly'!B7</f>
        <v>191.75170085819997</v>
      </c>
      <c r="E7" s="31" t="s">
        <v>122</v>
      </c>
      <c r="F7" s="117">
        <f>'P&amp;L Monthly'!V7+'P&amp;L Monthly'!N7+'P&amp;L Monthly'!R7</f>
        <v>-44.961968530800078</v>
      </c>
      <c r="J7" s="31" t="s">
        <v>122</v>
      </c>
      <c r="K7" s="117">
        <v>-227.64853621740033</v>
      </c>
      <c r="O7" s="31" t="s">
        <v>122</v>
      </c>
      <c r="P7" s="117">
        <v>155.75300333160021</v>
      </c>
      <c r="T7" s="31" t="s">
        <v>122</v>
      </c>
      <c r="U7" s="117">
        <v>-274.4018130172002</v>
      </c>
    </row>
    <row r="8" spans="1:22" ht="19.5" customHeight="1">
      <c r="A8" s="34" t="s">
        <v>123</v>
      </c>
      <c r="B8" s="118">
        <f>'P&amp;L Monthly'!J8+'P&amp;L Monthly'!F8+'P&amp;L Monthly'!B8</f>
        <v>2138.8194008581995</v>
      </c>
      <c r="E8" s="34" t="s">
        <v>123</v>
      </c>
      <c r="F8" s="118">
        <f>'P&amp;L Monthly'!V8+'P&amp;L Monthly'!N8+'P&amp;L Monthly'!R8</f>
        <v>348.49887836920016</v>
      </c>
      <c r="J8" s="34" t="s">
        <v>123</v>
      </c>
      <c r="K8" s="118">
        <f>K4+K7</f>
        <v>-548.9578862174003</v>
      </c>
      <c r="O8" s="34" t="s">
        <v>123</v>
      </c>
      <c r="P8" s="118">
        <f>P4+P7</f>
        <v>957.39405333160005</v>
      </c>
      <c r="T8" s="34" t="s">
        <v>123</v>
      </c>
      <c r="U8" s="118">
        <f>U4+U7</f>
        <v>-769.47751301719995</v>
      </c>
    </row>
    <row r="9" spans="1:22" ht="2.25" customHeight="1">
      <c r="A9" s="34"/>
      <c r="B9" s="118">
        <f>'P&amp;L Monthly'!J9+'P&amp;L Monthly'!F9+'P&amp;L Monthly'!B9</f>
        <v>0</v>
      </c>
      <c r="E9" s="34"/>
      <c r="F9" s="118">
        <f>'P&amp;L Monthly'!V9+'P&amp;L Monthly'!N9+'P&amp;L Monthly'!R9</f>
        <v>0</v>
      </c>
      <c r="J9" s="34"/>
      <c r="K9" s="118"/>
      <c r="O9" s="34"/>
      <c r="P9" s="118"/>
      <c r="T9" s="34"/>
      <c r="U9" s="118"/>
    </row>
    <row r="10" spans="1:22" ht="19.5" customHeight="1">
      <c r="A10" s="31" t="s">
        <v>119</v>
      </c>
      <c r="B10" s="117">
        <f>'P&amp;L Monthly'!J10+'P&amp;L Monthly'!F10+'P&amp;L Monthly'!B10</f>
        <v>1466.7145999999998</v>
      </c>
      <c r="E10" s="31" t="s">
        <v>119</v>
      </c>
      <c r="F10" s="117">
        <f>'P&amp;L Monthly'!V10+'P&amp;L Monthly'!N10+'P&amp;L Monthly'!R10</f>
        <v>543.99120309999978</v>
      </c>
      <c r="J10" s="31" t="s">
        <v>119</v>
      </c>
      <c r="K10" s="117">
        <f>SUM('Sold Stocks'!$H$15:$H$22)/1000</f>
        <v>1021.79005</v>
      </c>
      <c r="O10" s="31" t="s">
        <v>119</v>
      </c>
      <c r="P10" s="117">
        <v>650.38154999999995</v>
      </c>
      <c r="T10" s="31" t="s">
        <v>119</v>
      </c>
      <c r="U10" s="117">
        <f>SUM('Sold Stocks'!$H$4:$H$6)/1000</f>
        <v>-63.355378499999873</v>
      </c>
    </row>
    <row r="11" spans="1:22" ht="19.5" customHeight="1">
      <c r="A11" s="34" t="s">
        <v>120</v>
      </c>
      <c r="B11" s="118">
        <f>'P&amp;L Monthly'!J11+'P&amp;L Monthly'!F11+'P&amp;L Monthly'!B11</f>
        <v>1466.7145999999998</v>
      </c>
      <c r="E11" s="34" t="s">
        <v>120</v>
      </c>
      <c r="F11" s="118">
        <f>'P&amp;L Monthly'!V11+'P&amp;L Monthly'!N11+'P&amp;L Monthly'!R11</f>
        <v>543.99120309999978</v>
      </c>
      <c r="J11" s="34" t="s">
        <v>120</v>
      </c>
      <c r="K11" s="118">
        <f>K10</f>
        <v>1021.79005</v>
      </c>
      <c r="O11" s="34" t="s">
        <v>120</v>
      </c>
      <c r="P11" s="118">
        <f>P10</f>
        <v>650.38154999999995</v>
      </c>
      <c r="T11" s="34" t="s">
        <v>120</v>
      </c>
      <c r="U11" s="118">
        <f>U10</f>
        <v>-63.355378499999873</v>
      </c>
    </row>
    <row r="12" spans="1:22" ht="19.5" customHeight="1">
      <c r="A12" s="34" t="s">
        <v>125</v>
      </c>
      <c r="B12" s="118">
        <f>'P&amp;L Monthly'!J12+'P&amp;L Monthly'!F12+'P&amp;L Monthly'!B12</f>
        <v>76.990949999999998</v>
      </c>
      <c r="E12" s="34" t="s">
        <v>125</v>
      </c>
      <c r="F12" s="118">
        <f>'P&amp;L Monthly'!V12+'P&amp;L Monthly'!N12+'P&amp;L Monthly'!R12</f>
        <v>97.375129999999999</v>
      </c>
      <c r="J12" s="34" t="s">
        <v>125</v>
      </c>
      <c r="K12" s="118">
        <f>SUM(Dividends!$E$17:$E$19)/1000</f>
        <v>26.311349999999997</v>
      </c>
      <c r="O12" s="34" t="s">
        <v>125</v>
      </c>
      <c r="P12" s="118">
        <f>SUM(Dividends!$E$11:$E$16)/1000</f>
        <v>53.435099999999998</v>
      </c>
      <c r="T12" s="34" t="s">
        <v>125</v>
      </c>
      <c r="U12" s="118">
        <f>SUM(Dividends!$E$4:$E$10)/1000</f>
        <v>28.171050000000001</v>
      </c>
    </row>
    <row r="13" spans="1:22" ht="19.5" customHeight="1">
      <c r="A13" s="45" t="s">
        <v>124</v>
      </c>
      <c r="B13" s="119">
        <f>'P&amp;L Monthly'!J13+'P&amp;L Monthly'!F13+'P&amp;L Monthly'!B13</f>
        <v>3682.5249508581992</v>
      </c>
      <c r="C13" s="82">
        <f>$B$13/(30000000/1000)</f>
        <v>0.1227508316952733</v>
      </c>
      <c r="E13" s="45" t="s">
        <v>124</v>
      </c>
      <c r="F13" s="119">
        <f>F12+F11+F8</f>
        <v>989.86521146919995</v>
      </c>
      <c r="G13" s="82">
        <f>$F$13/(30000000/1000)</f>
        <v>3.2995507048973333E-2</v>
      </c>
      <c r="J13" s="45" t="s">
        <v>124</v>
      </c>
      <c r="K13" s="119">
        <f>K8+K11+K12</f>
        <v>499.14351378259965</v>
      </c>
      <c r="L13" s="82">
        <f>$K$13/('Cash Movement'!$J$7/1000)</f>
        <v>2.4957175689129984E-2</v>
      </c>
      <c r="O13" s="45" t="s">
        <v>124</v>
      </c>
      <c r="P13" s="119">
        <f>P8+P11+P12</f>
        <v>1661.2107033315999</v>
      </c>
      <c r="Q13" s="82">
        <f>$P$13/('Cash Movement'!$J$7/1000)</f>
        <v>8.3060535166579991E-2</v>
      </c>
      <c r="T13" s="45" t="s">
        <v>124</v>
      </c>
      <c r="U13" s="119">
        <f>U8+U11+U12</f>
        <v>-804.66184151719983</v>
      </c>
      <c r="V13" s="156">
        <f>$U$13/('Cash Movement'!$J$7/1000)</f>
        <v>-4.023309207585999E-2</v>
      </c>
    </row>
    <row r="14" spans="1:22" ht="19.5" customHeight="1">
      <c r="A14" s="44" t="s">
        <v>41</v>
      </c>
      <c r="B14" s="117">
        <f>'P&amp;L Monthly'!J14+'P&amp;L Monthly'!F14+'P&amp;L Monthly'!B14</f>
        <v>0</v>
      </c>
      <c r="E14" s="44" t="s">
        <v>41</v>
      </c>
      <c r="F14" s="117">
        <f>'P&amp;L Monthly'!V14+'P&amp;L Monthly'!N14+'P&amp;L Monthly'!R14</f>
        <v>0</v>
      </c>
      <c r="J14" s="44" t="s">
        <v>41</v>
      </c>
      <c r="K14" s="117"/>
      <c r="O14" s="44" t="s">
        <v>41</v>
      </c>
      <c r="P14" s="117"/>
      <c r="T14" s="44" t="s">
        <v>41</v>
      </c>
      <c r="U14" s="117"/>
    </row>
    <row r="15" spans="1:22" ht="19.5" customHeight="1">
      <c r="A15" s="31" t="s">
        <v>23</v>
      </c>
      <c r="B15" s="117">
        <f>'P&amp;L Monthly'!J15+'P&amp;L Monthly'!F15+'P&amp;L Monthly'!B15</f>
        <v>-607.2991389999994</v>
      </c>
      <c r="E15" s="31" t="s">
        <v>23</v>
      </c>
      <c r="F15" s="117">
        <f>'P&amp;L Monthly'!V15+'P&amp;L Monthly'!N15+'P&amp;L Monthly'!R15</f>
        <v>-273.97823389999985</v>
      </c>
      <c r="J15" s="31" t="s">
        <v>23</v>
      </c>
      <c r="K15" s="117">
        <f>SUM('Cash Movement'!$G$58:$G$76)/-1000</f>
        <v>-305.37118279999981</v>
      </c>
      <c r="O15" s="31" t="s">
        <v>23</v>
      </c>
      <c r="P15" s="117">
        <f>-SUM('Cash Movement'!$G$38:$G$57)/1000</f>
        <v>-176.89024739999988</v>
      </c>
      <c r="T15" s="31" t="s">
        <v>23</v>
      </c>
      <c r="U15" s="117">
        <f>-SUM('Cash Movement'!$G$8:$G$37)/1000</f>
        <v>-202.66853709999987</v>
      </c>
    </row>
    <row r="16" spans="1:22" ht="19.5" customHeight="1">
      <c r="A16" s="31" t="s">
        <v>24</v>
      </c>
      <c r="B16" s="117">
        <f>'P&amp;L Monthly'!J16+'P&amp;L Monthly'!F16+'P&amp;L Monthly'!B16</f>
        <v>0</v>
      </c>
      <c r="E16" s="31" t="s">
        <v>24</v>
      </c>
      <c r="F16" s="117">
        <f>'P&amp;L Monthly'!V16+'P&amp;L Monthly'!N16+'P&amp;L Monthly'!R16</f>
        <v>-118</v>
      </c>
      <c r="J16" s="31" t="s">
        <v>24</v>
      </c>
      <c r="K16" s="117">
        <v>0</v>
      </c>
      <c r="O16" s="31" t="s">
        <v>24</v>
      </c>
      <c r="P16" s="117">
        <f>'Cash Movement'!$H$42/-1000</f>
        <v>-17.25</v>
      </c>
      <c r="T16" s="31" t="s">
        <v>24</v>
      </c>
      <c r="U16" s="117">
        <f>SUM('Cash Movement'!H8:H37)</f>
        <v>0</v>
      </c>
    </row>
    <row r="17" spans="1:23" ht="19.5" customHeight="1">
      <c r="A17" s="45" t="s">
        <v>42</v>
      </c>
      <c r="B17" s="119">
        <f>'P&amp;L Monthly'!J17+'P&amp;L Monthly'!F17+'P&amp;L Monthly'!B17</f>
        <v>-607.2991389999994</v>
      </c>
      <c r="E17" s="45" t="s">
        <v>42</v>
      </c>
      <c r="F17" s="119">
        <f>F15+F16</f>
        <v>-391.97823389999985</v>
      </c>
      <c r="J17" s="45" t="s">
        <v>42</v>
      </c>
      <c r="K17" s="119">
        <f>SUM(K15:K16)</f>
        <v>-305.37118279999981</v>
      </c>
      <c r="O17" s="45" t="s">
        <v>42</v>
      </c>
      <c r="P17" s="119">
        <f>SUM(P15:P16)</f>
        <v>-194.14024739999988</v>
      </c>
      <c r="T17" s="45" t="s">
        <v>42</v>
      </c>
      <c r="U17" s="119">
        <f>SUM(U15:U16)</f>
        <v>-202.66853709999987</v>
      </c>
    </row>
    <row r="18" spans="1:23" ht="19.5" customHeight="1" thickBot="1">
      <c r="A18" s="46" t="s">
        <v>43</v>
      </c>
      <c r="B18" s="120">
        <f>'P&amp;L Monthly'!J18+'P&amp;L Monthly'!F18+'P&amp;L Monthly'!B18</f>
        <v>3075.2258118581994</v>
      </c>
      <c r="C18" s="82">
        <f>$B$18/(30000000/1000)</f>
        <v>0.10250752706193998</v>
      </c>
      <c r="E18" s="46" t="s">
        <v>43</v>
      </c>
      <c r="F18" s="120">
        <f>F13+F17</f>
        <v>597.8869775692001</v>
      </c>
      <c r="G18" s="82">
        <f>$F$18/(30000000/1000)</f>
        <v>1.9929565918973338E-2</v>
      </c>
      <c r="J18" s="46" t="s">
        <v>43</v>
      </c>
      <c r="K18" s="120">
        <f>K13+K17</f>
        <v>193.77233098259984</v>
      </c>
      <c r="L18" s="82">
        <f>$K$18/('Cash Movement'!$J$7/1000)</f>
        <v>9.6886165491299921E-3</v>
      </c>
      <c r="O18" s="46" t="s">
        <v>43</v>
      </c>
      <c r="P18" s="120">
        <f>P13+P17</f>
        <v>1467.0704559316</v>
      </c>
      <c r="Q18" s="82">
        <f>$P$18/('Cash Movement'!$J$7/1000)</f>
        <v>7.3353522796580001E-2</v>
      </c>
      <c r="T18" s="46" t="s">
        <v>43</v>
      </c>
      <c r="U18" s="120">
        <f>U13+U17</f>
        <v>-1007.3303786171997</v>
      </c>
      <c r="V18" s="156">
        <f>$U$18/('Cash Movement'!$J$7/1000)</f>
        <v>-5.0366518930859985E-2</v>
      </c>
      <c r="W18" s="143"/>
    </row>
    <row r="19" spans="1:23" ht="19.5" customHeight="1">
      <c r="A19" s="265" t="s">
        <v>233</v>
      </c>
      <c r="B19" s="266">
        <f>'P&amp;L Monthly'!J19+'P&amp;L Monthly'!F19+'P&amp;L Monthly'!B19</f>
        <v>915</v>
      </c>
      <c r="E19" s="265" t="s">
        <v>233</v>
      </c>
      <c r="F19" s="266">
        <f>'P&amp;L Monthly'!N19+'P&amp;L Monthly'!R19+'P&amp;L Monthly'!V19</f>
        <v>630</v>
      </c>
      <c r="J19" s="265" t="s">
        <v>233</v>
      </c>
      <c r="K19" s="266">
        <v>600</v>
      </c>
      <c r="O19" s="265" t="s">
        <v>233</v>
      </c>
      <c r="P19" s="266">
        <v>600</v>
      </c>
    </row>
    <row r="20" spans="1:23" ht="19.5" customHeight="1" thickBot="1">
      <c r="A20" s="46" t="s">
        <v>234</v>
      </c>
      <c r="B20" s="120">
        <f>'P&amp;L Monthly'!J20+'P&amp;L Monthly'!F20+'P&amp;L Monthly'!B20</f>
        <v>2160.2258118581994</v>
      </c>
      <c r="C20" s="82">
        <f>B20/B19</f>
        <v>2.3609025266209831</v>
      </c>
      <c r="E20" s="46" t="s">
        <v>234</v>
      </c>
      <c r="F20" s="120">
        <f>F18-F19</f>
        <v>-32.113022430799901</v>
      </c>
      <c r="G20" s="156">
        <f>F20/F19</f>
        <v>-5.097305147746016E-2</v>
      </c>
      <c r="J20" s="46" t="s">
        <v>234</v>
      </c>
      <c r="K20" s="120">
        <f>K18-K19</f>
        <v>-406.22766901740016</v>
      </c>
      <c r="L20" s="156">
        <f>K20/K19</f>
        <v>-0.67704611502900025</v>
      </c>
      <c r="O20" s="46" t="s">
        <v>234</v>
      </c>
      <c r="P20" s="120">
        <f>P18-P19</f>
        <v>867.07045593160001</v>
      </c>
    </row>
  </sheetData>
  <mergeCells count="5">
    <mergeCell ref="J1:K2"/>
    <mergeCell ref="O1:P2"/>
    <mergeCell ref="T1:U2"/>
    <mergeCell ref="E1:F2"/>
    <mergeCell ref="A1:B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8FE9-9E66-45A9-8EA2-77159C105984}">
  <dimension ref="A1:C20"/>
  <sheetViews>
    <sheetView workbookViewId="0">
      <selection activeCell="B20" sqref="B20"/>
    </sheetView>
  </sheetViews>
  <sheetFormatPr defaultRowHeight="15"/>
  <cols>
    <col min="1" max="1" width="26.7109375" customWidth="1"/>
    <col min="2" max="2" width="19" customWidth="1"/>
  </cols>
  <sheetData>
    <row r="1" spans="1:3">
      <c r="A1" s="379" t="s">
        <v>561</v>
      </c>
      <c r="B1" s="380"/>
    </row>
    <row r="2" spans="1:3" ht="37.5" customHeight="1">
      <c r="A2" s="381"/>
      <c r="B2" s="382"/>
    </row>
    <row r="3" spans="1:3" ht="19.5" customHeight="1">
      <c r="A3" s="33" t="s">
        <v>40</v>
      </c>
      <c r="B3" s="32"/>
    </row>
    <row r="4" spans="1:3" ht="19.5" customHeight="1">
      <c r="A4" s="31" t="s">
        <v>121</v>
      </c>
      <c r="B4" s="117">
        <f>'P&amp;L Quarter'!B4+'P&amp;L Quarter'!F4+'P&amp;L Quarter'!K4+'P&amp;L Quarter'!P4</f>
        <v>2166.8110468999998</v>
      </c>
    </row>
    <row r="5" spans="1:3" ht="19.5" customHeight="1">
      <c r="A5" s="31" t="s">
        <v>267</v>
      </c>
      <c r="B5" s="117">
        <f>'P&amp;L Quarter'!B5+'P&amp;L Quarter'!F5+'P&amp;L Quarter'!K5+'P&amp;L Quarter'!P5</f>
        <v>697.19229999999982</v>
      </c>
    </row>
    <row r="6" spans="1:3" ht="19.5" customHeight="1">
      <c r="A6" s="31" t="s">
        <v>298</v>
      </c>
      <c r="B6" s="117">
        <f>'P&amp;L Quarter'!B6+'P&amp;L Quarter'!F6+'P&amp;L Quarter'!K6+'P&amp;L Quarter'!P6</f>
        <v>-43.143099999999919</v>
      </c>
    </row>
    <row r="7" spans="1:3" ht="19.5" customHeight="1">
      <c r="A7" s="31" t="s">
        <v>122</v>
      </c>
      <c r="B7" s="117">
        <f>'P&amp;L Quarter'!B7+'P&amp;L Quarter'!F7+'P&amp;L Quarter'!K7+'P&amp;L Quarter'!P7</f>
        <v>74.894199441599767</v>
      </c>
    </row>
    <row r="8" spans="1:3" ht="19.5" customHeight="1">
      <c r="A8" s="34" t="s">
        <v>123</v>
      </c>
      <c r="B8" s="118">
        <f>'P&amp;L Quarter'!B8+'P&amp;L Quarter'!F8+'P&amp;L Quarter'!K8+'P&amp;L Quarter'!P8</f>
        <v>2895.7544463415993</v>
      </c>
    </row>
    <row r="9" spans="1:3" ht="2.25" customHeight="1">
      <c r="A9" s="34"/>
      <c r="B9" s="118">
        <f>'P&amp;L Quarter'!B9+'P&amp;L Quarter'!F9+'P&amp;L Quarter'!K9+'P&amp;L Quarter'!P9</f>
        <v>0</v>
      </c>
    </row>
    <row r="10" spans="1:3" ht="19.5" customHeight="1">
      <c r="A10" s="31" t="s">
        <v>119</v>
      </c>
      <c r="B10" s="117">
        <f>'P&amp;L Quarter'!B10+'P&amp;L Quarter'!F10+'P&amp;L Quarter'!K10+'P&amp;L Quarter'!P10</f>
        <v>3682.8774030999998</v>
      </c>
    </row>
    <row r="11" spans="1:3" ht="19.5" customHeight="1">
      <c r="A11" s="34" t="s">
        <v>120</v>
      </c>
      <c r="B11" s="118">
        <f>'P&amp;L Quarter'!B11+'P&amp;L Quarter'!F11+'P&amp;L Quarter'!K11+'P&amp;L Quarter'!P11</f>
        <v>3682.8774030999998</v>
      </c>
    </row>
    <row r="12" spans="1:3" ht="19.5" customHeight="1">
      <c r="A12" s="34" t="s">
        <v>125</v>
      </c>
      <c r="B12" s="118">
        <f>'P&amp;L Quarter'!B12+'P&amp;L Quarter'!F12+'P&amp;L Quarter'!K12+'P&amp;L Quarter'!P12</f>
        <v>254.11253000000002</v>
      </c>
    </row>
    <row r="13" spans="1:3" ht="19.5" customHeight="1">
      <c r="A13" s="45" t="s">
        <v>124</v>
      </c>
      <c r="B13" s="119">
        <f>'P&amp;L Quarter'!B13+'P&amp;L Quarter'!F13+'P&amp;L Quarter'!K13+'P&amp;L Quarter'!P13</f>
        <v>6832.7443794415985</v>
      </c>
      <c r="C13" s="82">
        <f>$B$13/(30000000/1000)</f>
        <v>0.22775814598138661</v>
      </c>
    </row>
    <row r="14" spans="1:3" ht="19.5" customHeight="1">
      <c r="A14" s="44" t="s">
        <v>41</v>
      </c>
      <c r="B14" s="117"/>
    </row>
    <row r="15" spans="1:3" ht="19.5" customHeight="1">
      <c r="A15" s="31" t="s">
        <v>23</v>
      </c>
      <c r="B15" s="117">
        <f>'P&amp;L Quarter'!B15+'P&amp;L Quarter'!F15+'P&amp;L Quarter'!K15+'P&amp;L Quarter'!P15</f>
        <v>-1363.5388030999991</v>
      </c>
    </row>
    <row r="16" spans="1:3" ht="19.5" customHeight="1">
      <c r="A16" s="31" t="s">
        <v>24</v>
      </c>
      <c r="B16" s="117">
        <f>'P&amp;L Quarter'!B16+'P&amp;L Quarter'!F16+'P&amp;L Quarter'!K16+'P&amp;L Quarter'!P16</f>
        <v>-135.25</v>
      </c>
    </row>
    <row r="17" spans="1:3" ht="19.5" customHeight="1">
      <c r="A17" s="45" t="s">
        <v>42</v>
      </c>
      <c r="B17" s="119">
        <f>'P&amp;L Quarter'!B17+'P&amp;L Quarter'!F17+'P&amp;L Quarter'!K17+'P&amp;L Quarter'!P17</f>
        <v>-1498.7888030999991</v>
      </c>
    </row>
    <row r="18" spans="1:3" ht="19.5" customHeight="1" thickBot="1">
      <c r="A18" s="46" t="s">
        <v>43</v>
      </c>
      <c r="B18" s="120">
        <f>'P&amp;L Quarter'!B18+'P&amp;L Quarter'!F18+'P&amp;L Quarter'!K18+'P&amp;L Quarter'!P18</f>
        <v>5333.9555763415992</v>
      </c>
      <c r="C18" s="82">
        <f>$B$18/(30000000/1000)</f>
        <v>0.17779851921138665</v>
      </c>
    </row>
    <row r="19" spans="1:3" ht="19.5" customHeight="1">
      <c r="A19" s="265" t="s">
        <v>233</v>
      </c>
      <c r="B19" s="266">
        <f>'P&amp;L Quarter'!B19+'P&amp;L Quarter'!F19+'P&amp;L Quarter'!K19+'P&amp;L Quarter'!P19</f>
        <v>2745</v>
      </c>
    </row>
    <row r="20" spans="1:3" ht="19.5" customHeight="1" thickBot="1">
      <c r="A20" s="46" t="s">
        <v>234</v>
      </c>
      <c r="B20" s="120">
        <f>'P&amp;L Quarter'!B20+'P&amp;L Quarter'!F20+'P&amp;L Quarter'!K20+'P&amp;L Quarter'!P20</f>
        <v>2588.9555763415992</v>
      </c>
      <c r="C20" s="82">
        <f>B20/B19</f>
        <v>0.94315321542499064</v>
      </c>
    </row>
  </sheetData>
  <mergeCells count="1"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zoomScaleNormal="100" workbookViewId="0">
      <selection activeCell="A20" sqref="A20"/>
    </sheetView>
  </sheetViews>
  <sheetFormatPr defaultColWidth="9.140625" defaultRowHeight="15"/>
  <cols>
    <col min="1" max="1" width="26.7109375" style="178" customWidth="1"/>
    <col min="2" max="2" width="20.85546875" style="178" customWidth="1"/>
    <col min="3" max="3" width="9.7109375" style="178" bestFit="1" customWidth="1"/>
    <col min="4" max="4" width="9.140625" style="178" customWidth="1"/>
    <col min="5" max="6" width="9.140625" style="178" hidden="1" customWidth="1"/>
    <col min="7" max="7" width="7" style="178" hidden="1" customWidth="1"/>
    <col min="8" max="8" width="9.140625" style="178" hidden="1" customWidth="1"/>
    <col min="9" max="9" width="30.7109375" style="178" hidden="1" customWidth="1"/>
    <col min="10" max="10" width="11.5703125" style="178" hidden="1" customWidth="1"/>
    <col min="11" max="11" width="10.28515625" style="178" hidden="1" customWidth="1"/>
    <col min="12" max="16384" width="9.140625" style="178"/>
  </cols>
  <sheetData>
    <row r="1" spans="1:11" ht="24.75" customHeight="1">
      <c r="A1" s="379" t="s">
        <v>307</v>
      </c>
      <c r="B1" s="386"/>
    </row>
    <row r="2" spans="1:11" ht="26.25" customHeight="1">
      <c r="A2" s="387"/>
      <c r="B2" s="388"/>
    </row>
    <row r="3" spans="1:11" ht="19.5" customHeight="1">
      <c r="A3" s="179" t="s">
        <v>40</v>
      </c>
      <c r="B3" s="180"/>
    </row>
    <row r="4" spans="1:11" ht="19.5" customHeight="1">
      <c r="A4" s="181" t="s">
        <v>121</v>
      </c>
      <c r="B4" s="182">
        <f>'Invested Stocks'!G40/1000</f>
        <v>1671.7353468999997</v>
      </c>
      <c r="G4" s="183">
        <f>'P&amp;L Quarter'!F4+'P&amp;L Quarter'!K4+'P&amp;L Quarter'!P4+'P&amp;L Quarter'!U4+'P&amp;L Quarter'!B4</f>
        <v>1671.7353469000002</v>
      </c>
      <c r="I4" s="178" t="b">
        <f t="shared" ref="I4:I18" si="0">G4=B4</f>
        <v>1</v>
      </c>
    </row>
    <row r="5" spans="1:11" ht="19.5" customHeight="1">
      <c r="A5" s="31" t="s">
        <v>267</v>
      </c>
      <c r="B5" s="182">
        <f>'Pharma Sector'!G17/1000</f>
        <v>697.19229999999982</v>
      </c>
      <c r="G5" s="183">
        <f>'P&amp;L Quarter'!F5+'P&amp;L Quarter'!K5+'P&amp;L Quarter'!P5+'P&amp;L Quarter'!U5+'P&amp;L Quarter'!B5</f>
        <v>697.19229999999982</v>
      </c>
      <c r="I5" s="178" t="b">
        <f t="shared" si="0"/>
        <v>1</v>
      </c>
    </row>
    <row r="6" spans="1:11" ht="19.5" customHeight="1">
      <c r="A6" s="31" t="s">
        <v>298</v>
      </c>
      <c r="B6" s="182">
        <f>'Energy Sector'!G16/1000</f>
        <v>-43.143099999999919</v>
      </c>
      <c r="G6" s="183">
        <f>'P&amp;L Quarter'!B6</f>
        <v>-43.143099999999919</v>
      </c>
      <c r="I6" s="178" t="b">
        <f t="shared" si="0"/>
        <v>1</v>
      </c>
    </row>
    <row r="7" spans="1:11" ht="19.5" customHeight="1">
      <c r="A7" s="181" t="s">
        <v>122</v>
      </c>
      <c r="B7" s="182">
        <f>SUM('Mutual Fund'!G4:G6)/1000</f>
        <v>-199.50761357560043</v>
      </c>
      <c r="G7" s="183">
        <f>'P&amp;L Quarter'!F7+'P&amp;L Quarter'!K7+'P&amp;L Quarter'!P7+'P&amp;L Quarter'!U7+'P&amp;L Quarter'!B7</f>
        <v>-199.50761357560043</v>
      </c>
      <c r="I7" s="178" t="b">
        <f t="shared" si="0"/>
        <v>1</v>
      </c>
    </row>
    <row r="8" spans="1:11" ht="19.5" customHeight="1">
      <c r="A8" s="184" t="s">
        <v>123</v>
      </c>
      <c r="B8" s="185">
        <f>B4+B5+B7+B6</f>
        <v>2126.2769333243996</v>
      </c>
      <c r="G8" s="183">
        <f>'P&amp;L Quarter'!F8+'P&amp;L Quarter'!K8+'P&amp;L Quarter'!P8+'P&amp;L Quarter'!U8+'P&amp;L Quarter'!B8</f>
        <v>2126.2769333243996</v>
      </c>
      <c r="I8" s="178" t="b">
        <f t="shared" si="0"/>
        <v>1</v>
      </c>
    </row>
    <row r="9" spans="1:11" ht="3" customHeight="1">
      <c r="A9" s="184"/>
      <c r="B9" s="185"/>
      <c r="G9" s="183">
        <f>'P&amp;L Quarter'!F9+'P&amp;L Quarter'!K9+'P&amp;L Quarter'!P9+'P&amp;L Quarter'!U9+'P&amp;L Quarter'!B9</f>
        <v>0</v>
      </c>
      <c r="I9" s="178" t="b">
        <f t="shared" si="0"/>
        <v>1</v>
      </c>
    </row>
    <row r="10" spans="1:11" ht="19.5" customHeight="1">
      <c r="A10" s="181" t="s">
        <v>119</v>
      </c>
      <c r="B10" s="182">
        <f>('Sold Stocks'!H58/1000)</f>
        <v>3619.5220245999994</v>
      </c>
      <c r="G10" s="183">
        <f>'P&amp;L Quarter'!F10+'P&amp;L Quarter'!K10+'P&amp;L Quarter'!P10+'P&amp;L Quarter'!U10+'P&amp;L Quarter'!B10</f>
        <v>3619.5220245999994</v>
      </c>
      <c r="I10" s="178" t="b">
        <f t="shared" si="0"/>
        <v>1</v>
      </c>
    </row>
    <row r="11" spans="1:11" ht="19.5" customHeight="1">
      <c r="A11" s="184" t="s">
        <v>120</v>
      </c>
      <c r="B11" s="185">
        <f>B10</f>
        <v>3619.5220245999994</v>
      </c>
      <c r="G11" s="183">
        <f>'P&amp;L Quarter'!F11+'P&amp;L Quarter'!K11+'P&amp;L Quarter'!P11+'P&amp;L Quarter'!U11+'P&amp;L Quarter'!B11</f>
        <v>3619.5220245999994</v>
      </c>
      <c r="I11" s="178" t="b">
        <f t="shared" si="0"/>
        <v>1</v>
      </c>
    </row>
    <row r="12" spans="1:11" ht="19.5" customHeight="1">
      <c r="A12" s="184" t="s">
        <v>125</v>
      </c>
      <c r="B12" s="185">
        <f>(SUM(Dividends!E4:E41)/1000)</f>
        <v>282.28358000000003</v>
      </c>
      <c r="C12" s="188"/>
      <c r="G12" s="183">
        <f>'P&amp;L Quarter'!F12+'P&amp;L Quarter'!K12+'P&amp;L Quarter'!P12+'P&amp;L Quarter'!U12+'P&amp;L Quarter'!B12</f>
        <v>282.28358000000003</v>
      </c>
      <c r="I12" s="178" t="b">
        <f t="shared" si="0"/>
        <v>1</v>
      </c>
    </row>
    <row r="13" spans="1:11" ht="19.5" customHeight="1">
      <c r="A13" s="186" t="s">
        <v>124</v>
      </c>
      <c r="B13" s="187">
        <f>B8+B11+B12</f>
        <v>6028.0825379243988</v>
      </c>
      <c r="C13" s="188">
        <f>B13/(30000000/1000)</f>
        <v>0.20093608459747997</v>
      </c>
      <c r="G13" s="183">
        <f>'P&amp;L Quarter'!F13+'P&amp;L Quarter'!K13+'P&amp;L Quarter'!P13+'P&amp;L Quarter'!U13+'P&amp;L Quarter'!B13</f>
        <v>6028.0825379243988</v>
      </c>
      <c r="I13" s="178" t="b">
        <f t="shared" si="0"/>
        <v>1</v>
      </c>
      <c r="K13" s="189"/>
    </row>
    <row r="14" spans="1:11" ht="19.5" customHeight="1">
      <c r="A14" s="190" t="s">
        <v>41</v>
      </c>
      <c r="B14" s="182"/>
      <c r="G14" s="183">
        <f>'P&amp;L Quarter'!F14+'P&amp;L Quarter'!K14+'P&amp;L Quarter'!P14+'P&amp;L Quarter'!U14+'P&amp;L Quarter'!B14</f>
        <v>0</v>
      </c>
      <c r="I14" s="178" t="b">
        <f t="shared" si="0"/>
        <v>1</v>
      </c>
    </row>
    <row r="15" spans="1:11" ht="19.5" customHeight="1">
      <c r="A15" s="181" t="s">
        <v>23</v>
      </c>
      <c r="B15" s="182">
        <f>-SUM('Cash Movement'!G8:G225)/1000</f>
        <v>-1566.2073401999994</v>
      </c>
      <c r="G15" s="183">
        <f>'P&amp;L Quarter'!F15+'P&amp;L Quarter'!K15+'P&amp;L Quarter'!P15+'P&amp;L Quarter'!U15+'P&amp;L Quarter'!B15</f>
        <v>-1566.2073401999987</v>
      </c>
      <c r="I15" s="178" t="b">
        <f t="shared" si="0"/>
        <v>1</v>
      </c>
    </row>
    <row r="16" spans="1:11" ht="2.25" customHeight="1">
      <c r="A16" s="181"/>
      <c r="B16" s="182"/>
      <c r="G16" s="183" t="e">
        <f>'P&amp;L Quarter'!#REF!+'P&amp;L Quarter'!#REF!+'P&amp;L Quarter'!#REF!+'P&amp;L Quarter'!#REF!+'P&amp;L Quarter'!#REF!</f>
        <v>#REF!</v>
      </c>
      <c r="I16" s="178" t="e">
        <f t="shared" si="0"/>
        <v>#REF!</v>
      </c>
    </row>
    <row r="17" spans="1:9" ht="19.5" customHeight="1">
      <c r="A17" s="181" t="s">
        <v>24</v>
      </c>
      <c r="B17" s="182">
        <f>-SUM('Cash Movement'!H8:H225)/1000</f>
        <v>-135.25</v>
      </c>
      <c r="G17" s="183">
        <f>'P&amp;L Quarter'!F16+'P&amp;L Quarter'!K16+'P&amp;L Quarter'!P16+'P&amp;L Quarter'!U16+'P&amp;L Quarter'!B16</f>
        <v>-135.25</v>
      </c>
      <c r="I17" s="178" t="b">
        <f t="shared" si="0"/>
        <v>1</v>
      </c>
    </row>
    <row r="18" spans="1:9" ht="19.5" customHeight="1">
      <c r="A18" s="186" t="s">
        <v>42</v>
      </c>
      <c r="B18" s="187">
        <f>SUM(B15:B17)</f>
        <v>-1701.4573401999994</v>
      </c>
      <c r="G18" s="183">
        <f>'P&amp;L Quarter'!F17+'P&amp;L Quarter'!K17+'P&amp;L Quarter'!P17+'P&amp;L Quarter'!U17+'P&amp;L Quarter'!B17</f>
        <v>-1701.4573401999987</v>
      </c>
      <c r="I18" s="178" t="b">
        <f t="shared" si="0"/>
        <v>1</v>
      </c>
    </row>
    <row r="19" spans="1:9" ht="19.5" customHeight="1" thickBot="1">
      <c r="A19" s="191" t="s">
        <v>43</v>
      </c>
      <c r="B19" s="192">
        <f>B13+B18</f>
        <v>4326.6251977243992</v>
      </c>
      <c r="C19" s="188">
        <f>B19/(30000000/1000)</f>
        <v>0.14422083992414664</v>
      </c>
      <c r="G19" s="183">
        <f>'P&amp;L Quarter'!F18+'P&amp;L Quarter'!K18+'P&amp;L Quarter'!P18+'P&amp;L Quarter'!U18+'P&amp;L Quarter'!B18</f>
        <v>4326.6251977243992</v>
      </c>
      <c r="I19" s="178" t="b">
        <f>G19=B19</f>
        <v>1</v>
      </c>
    </row>
  </sheetData>
  <mergeCells count="1">
    <mergeCell ref="A1:B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ACE6-0250-4EC6-B2EF-6C91C084C680}">
  <dimension ref="A1:I103"/>
  <sheetViews>
    <sheetView topLeftCell="A100" workbookViewId="0">
      <selection activeCell="E102" sqref="E102"/>
    </sheetView>
  </sheetViews>
  <sheetFormatPr defaultRowHeight="15"/>
  <cols>
    <col min="1" max="1" width="5.85546875" customWidth="1"/>
    <col min="2" max="2" width="10.28515625" customWidth="1"/>
    <col min="3" max="3" width="11.42578125" customWidth="1"/>
    <col min="4" max="4" width="10" customWidth="1"/>
    <col min="5" max="5" width="39" customWidth="1"/>
    <col min="6" max="6" width="15" customWidth="1"/>
    <col min="7" max="7" width="17.28515625" customWidth="1"/>
    <col min="8" max="8" width="14" customWidth="1"/>
  </cols>
  <sheetData>
    <row r="1" spans="1:9" ht="39.75" customHeight="1">
      <c r="A1" s="314"/>
      <c r="B1" s="394"/>
      <c r="C1" s="390"/>
      <c r="D1" s="314"/>
      <c r="E1" s="314"/>
      <c r="F1" s="314"/>
      <c r="G1" s="314"/>
      <c r="H1" s="314"/>
      <c r="I1" s="314"/>
    </row>
    <row r="2" spans="1:9" ht="30" customHeight="1">
      <c r="A2" s="314"/>
      <c r="B2" s="395" t="s">
        <v>558</v>
      </c>
      <c r="C2" s="390"/>
      <c r="D2" s="390"/>
      <c r="E2" s="390"/>
      <c r="F2" s="390"/>
      <c r="G2" s="390"/>
      <c r="H2" s="390"/>
      <c r="I2" s="390"/>
    </row>
    <row r="3" spans="1:9">
      <c r="A3" s="314"/>
      <c r="B3" s="394" t="s">
        <v>308</v>
      </c>
      <c r="C3" s="390"/>
      <c r="D3" s="394" t="s">
        <v>309</v>
      </c>
      <c r="E3" s="390"/>
      <c r="F3" s="390"/>
      <c r="G3" s="390"/>
      <c r="H3" s="390"/>
      <c r="I3" s="390"/>
    </row>
    <row r="4" spans="1:9">
      <c r="A4" s="314"/>
      <c r="B4" s="394" t="s">
        <v>310</v>
      </c>
      <c r="C4" s="390"/>
      <c r="D4" s="315">
        <v>43009</v>
      </c>
      <c r="E4" s="316" t="s">
        <v>311</v>
      </c>
      <c r="F4" s="394" t="s">
        <v>559</v>
      </c>
      <c r="G4" s="390"/>
      <c r="H4" s="390"/>
      <c r="I4" s="390"/>
    </row>
    <row r="5" spans="1:9" ht="15.75" thickBot="1">
      <c r="A5" s="314"/>
      <c r="B5" s="389" t="s">
        <v>312</v>
      </c>
      <c r="C5" s="390"/>
      <c r="D5" s="390"/>
      <c r="E5" s="390"/>
      <c r="F5" s="390"/>
      <c r="G5" s="390"/>
      <c r="H5" s="390"/>
      <c r="I5" s="390"/>
    </row>
    <row r="6" spans="1:9" ht="51" customHeight="1">
      <c r="A6" s="317" t="s">
        <v>313</v>
      </c>
      <c r="B6" s="318" t="s">
        <v>314</v>
      </c>
      <c r="C6" s="318" t="s">
        <v>315</v>
      </c>
      <c r="D6" s="319" t="s">
        <v>316</v>
      </c>
      <c r="E6" s="319" t="s">
        <v>317</v>
      </c>
      <c r="F6" s="320" t="s">
        <v>318</v>
      </c>
      <c r="G6" s="320" t="s">
        <v>319</v>
      </c>
      <c r="H6" s="321" t="s">
        <v>320</v>
      </c>
    </row>
    <row r="7" spans="1:9" ht="15" customHeight="1">
      <c r="A7" s="391" t="s">
        <v>321</v>
      </c>
      <c r="B7" s="392"/>
      <c r="C7" s="392"/>
      <c r="D7" s="392"/>
      <c r="E7" s="392"/>
      <c r="F7" s="392"/>
      <c r="G7" s="393"/>
      <c r="H7" s="322">
        <f>H8+F8</f>
        <v>3375890.6799999997</v>
      </c>
    </row>
    <row r="8" spans="1:9" ht="30.75" customHeight="1">
      <c r="A8" s="323" t="s">
        <v>322</v>
      </c>
      <c r="B8" s="324" t="s">
        <v>416</v>
      </c>
      <c r="C8" s="324" t="s">
        <v>417</v>
      </c>
      <c r="D8" s="325" t="s">
        <v>323</v>
      </c>
      <c r="E8" s="325" t="s">
        <v>418</v>
      </c>
      <c r="F8" s="326">
        <v>5.32</v>
      </c>
      <c r="G8" s="326">
        <v>0</v>
      </c>
      <c r="H8" s="326">
        <v>3375885.36</v>
      </c>
    </row>
    <row r="9" spans="1:9" ht="30.75" customHeight="1">
      <c r="A9" s="323" t="s">
        <v>324</v>
      </c>
      <c r="B9" s="324" t="s">
        <v>417</v>
      </c>
      <c r="C9" s="324" t="s">
        <v>417</v>
      </c>
      <c r="D9" s="325" t="s">
        <v>323</v>
      </c>
      <c r="E9" s="325" t="s">
        <v>419</v>
      </c>
      <c r="F9" s="326">
        <v>0</v>
      </c>
      <c r="G9" s="326">
        <v>6946</v>
      </c>
      <c r="H9" s="326">
        <v>3382831.36</v>
      </c>
    </row>
    <row r="10" spans="1:9" ht="30.75" customHeight="1">
      <c r="A10" s="323" t="s">
        <v>325</v>
      </c>
      <c r="B10" s="324" t="s">
        <v>417</v>
      </c>
      <c r="C10" s="324" t="s">
        <v>417</v>
      </c>
      <c r="D10" s="325" t="s">
        <v>323</v>
      </c>
      <c r="E10" s="325" t="s">
        <v>420</v>
      </c>
      <c r="F10" s="326">
        <v>0</v>
      </c>
      <c r="G10" s="326">
        <v>2618</v>
      </c>
      <c r="H10" s="326">
        <v>3385449.36</v>
      </c>
    </row>
    <row r="11" spans="1:9" ht="30.75" customHeight="1">
      <c r="A11" s="323" t="s">
        <v>326</v>
      </c>
      <c r="B11" s="324" t="s">
        <v>417</v>
      </c>
      <c r="C11" s="324" t="s">
        <v>417</v>
      </c>
      <c r="D11" s="325" t="s">
        <v>323</v>
      </c>
      <c r="E11" s="325" t="s">
        <v>421</v>
      </c>
      <c r="F11" s="326">
        <v>39276.080000000002</v>
      </c>
      <c r="G11" s="326">
        <v>0</v>
      </c>
      <c r="H11" s="326">
        <v>3346173.28</v>
      </c>
    </row>
    <row r="12" spans="1:9" ht="30.75" customHeight="1">
      <c r="A12" s="323" t="s">
        <v>327</v>
      </c>
      <c r="B12" s="324" t="s">
        <v>422</v>
      </c>
      <c r="C12" s="324" t="s">
        <v>422</v>
      </c>
      <c r="D12" s="325" t="s">
        <v>323</v>
      </c>
      <c r="E12" s="325" t="s">
        <v>423</v>
      </c>
      <c r="F12" s="326">
        <v>0</v>
      </c>
      <c r="G12" s="326">
        <v>1190048.4099999999</v>
      </c>
      <c r="H12" s="326">
        <v>4536221.6900000004</v>
      </c>
    </row>
    <row r="13" spans="1:9" ht="30.75" customHeight="1">
      <c r="A13" s="323" t="s">
        <v>328</v>
      </c>
      <c r="B13" s="324" t="s">
        <v>422</v>
      </c>
      <c r="C13" s="324" t="s">
        <v>422</v>
      </c>
      <c r="D13" s="325" t="s">
        <v>323</v>
      </c>
      <c r="E13" s="325" t="s">
        <v>424</v>
      </c>
      <c r="F13" s="326">
        <v>497925.27</v>
      </c>
      <c r="G13" s="326">
        <v>0</v>
      </c>
      <c r="H13" s="326">
        <v>4038296.42</v>
      </c>
    </row>
    <row r="14" spans="1:9" ht="30.75" customHeight="1">
      <c r="A14" s="323" t="s">
        <v>329</v>
      </c>
      <c r="B14" s="324" t="s">
        <v>422</v>
      </c>
      <c r="C14" s="324" t="s">
        <v>422</v>
      </c>
      <c r="D14" s="325" t="s">
        <v>323</v>
      </c>
      <c r="E14" s="325" t="s">
        <v>425</v>
      </c>
      <c r="F14" s="326">
        <v>703962.14</v>
      </c>
      <c r="G14" s="326">
        <v>0</v>
      </c>
      <c r="H14" s="326">
        <v>3334334.28</v>
      </c>
    </row>
    <row r="15" spans="1:9" ht="30.75" customHeight="1">
      <c r="A15" s="323" t="s">
        <v>330</v>
      </c>
      <c r="B15" s="324" t="s">
        <v>422</v>
      </c>
      <c r="C15" s="324" t="s">
        <v>422</v>
      </c>
      <c r="D15" s="325" t="s">
        <v>323</v>
      </c>
      <c r="E15" s="325" t="s">
        <v>426</v>
      </c>
      <c r="F15" s="326">
        <v>782605.63</v>
      </c>
      <c r="G15" s="326">
        <v>0</v>
      </c>
      <c r="H15" s="326">
        <v>2551728.65</v>
      </c>
    </row>
    <row r="16" spans="1:9" ht="30.75" customHeight="1">
      <c r="A16" s="323" t="s">
        <v>331</v>
      </c>
      <c r="B16" s="324" t="s">
        <v>427</v>
      </c>
      <c r="C16" s="324" t="s">
        <v>427</v>
      </c>
      <c r="D16" s="325" t="s">
        <v>323</v>
      </c>
      <c r="E16" s="325" t="s">
        <v>428</v>
      </c>
      <c r="F16" s="326">
        <v>26894.01</v>
      </c>
      <c r="G16" s="326">
        <v>0</v>
      </c>
      <c r="H16" s="326">
        <v>2524834.64</v>
      </c>
    </row>
    <row r="17" spans="1:8" ht="30.75" customHeight="1">
      <c r="A17" s="323" t="s">
        <v>332</v>
      </c>
      <c r="B17" s="324" t="s">
        <v>429</v>
      </c>
      <c r="C17" s="324" t="s">
        <v>429</v>
      </c>
      <c r="D17" s="325" t="s">
        <v>323</v>
      </c>
      <c r="E17" s="325" t="s">
        <v>430</v>
      </c>
      <c r="F17" s="326">
        <v>750445.75</v>
      </c>
      <c r="G17" s="326">
        <v>0</v>
      </c>
      <c r="H17" s="326">
        <v>1774388.89</v>
      </c>
    </row>
    <row r="18" spans="1:8" ht="30.75" customHeight="1">
      <c r="A18" s="323" t="s">
        <v>333</v>
      </c>
      <c r="B18" s="324" t="s">
        <v>431</v>
      </c>
      <c r="C18" s="324" t="s">
        <v>431</v>
      </c>
      <c r="D18" s="325" t="s">
        <v>323</v>
      </c>
      <c r="E18" s="325" t="s">
        <v>432</v>
      </c>
      <c r="F18" s="326">
        <v>5.32</v>
      </c>
      <c r="G18" s="326">
        <v>0</v>
      </c>
      <c r="H18" s="326">
        <v>1774383.57</v>
      </c>
    </row>
    <row r="19" spans="1:8" ht="30.75" customHeight="1">
      <c r="A19" s="323" t="s">
        <v>334</v>
      </c>
      <c r="B19" s="324" t="s">
        <v>433</v>
      </c>
      <c r="C19" s="324" t="s">
        <v>433</v>
      </c>
      <c r="D19" s="325" t="s">
        <v>323</v>
      </c>
      <c r="E19" s="325" t="s">
        <v>434</v>
      </c>
      <c r="F19" s="326">
        <v>0</v>
      </c>
      <c r="G19" s="326">
        <v>884296.93</v>
      </c>
      <c r="H19" s="326">
        <v>2658680.5</v>
      </c>
    </row>
    <row r="20" spans="1:8" ht="30.75" customHeight="1">
      <c r="A20" s="323" t="s">
        <v>335</v>
      </c>
      <c r="B20" s="324" t="s">
        <v>433</v>
      </c>
      <c r="C20" s="324" t="s">
        <v>433</v>
      </c>
      <c r="D20" s="325" t="s">
        <v>323</v>
      </c>
      <c r="E20" s="325" t="s">
        <v>435</v>
      </c>
      <c r="F20" s="326">
        <v>750354.94</v>
      </c>
      <c r="G20" s="326">
        <v>0</v>
      </c>
      <c r="H20" s="326">
        <v>1908325.56</v>
      </c>
    </row>
    <row r="21" spans="1:8" ht="30.75" customHeight="1">
      <c r="A21" s="323" t="s">
        <v>336</v>
      </c>
      <c r="B21" s="324" t="s">
        <v>433</v>
      </c>
      <c r="C21" s="324" t="s">
        <v>433</v>
      </c>
      <c r="D21" s="325" t="s">
        <v>323</v>
      </c>
      <c r="E21" s="325" t="s">
        <v>436</v>
      </c>
      <c r="F21" s="326">
        <v>1339498.76</v>
      </c>
      <c r="G21" s="326">
        <v>0</v>
      </c>
      <c r="H21" s="326">
        <v>568826.80000000005</v>
      </c>
    </row>
    <row r="22" spans="1:8" ht="30.75" customHeight="1">
      <c r="A22" s="323" t="s">
        <v>337</v>
      </c>
      <c r="B22" s="324" t="s">
        <v>437</v>
      </c>
      <c r="C22" s="324" t="s">
        <v>437</v>
      </c>
      <c r="D22" s="325" t="s">
        <v>323</v>
      </c>
      <c r="E22" s="325" t="s">
        <v>438</v>
      </c>
      <c r="F22" s="326">
        <v>0.41</v>
      </c>
      <c r="G22" s="326">
        <v>0</v>
      </c>
      <c r="H22" s="326">
        <v>568826.39</v>
      </c>
    </row>
    <row r="23" spans="1:8" ht="30.75" customHeight="1">
      <c r="A23" s="323" t="s">
        <v>338</v>
      </c>
      <c r="B23" s="324" t="s">
        <v>437</v>
      </c>
      <c r="C23" s="324" t="s">
        <v>437</v>
      </c>
      <c r="D23" s="325" t="s">
        <v>323</v>
      </c>
      <c r="E23" s="325" t="s">
        <v>439</v>
      </c>
      <c r="F23" s="326">
        <v>0</v>
      </c>
      <c r="G23" s="326">
        <v>3698</v>
      </c>
      <c r="H23" s="326">
        <v>572524.39</v>
      </c>
    </row>
    <row r="24" spans="1:8" ht="30.75" customHeight="1">
      <c r="A24" s="323" t="s">
        <v>339</v>
      </c>
      <c r="B24" s="324" t="s">
        <v>437</v>
      </c>
      <c r="C24" s="324" t="s">
        <v>437</v>
      </c>
      <c r="D24" s="325" t="s">
        <v>323</v>
      </c>
      <c r="E24" s="325" t="s">
        <v>440</v>
      </c>
      <c r="F24" s="326">
        <v>10.23</v>
      </c>
      <c r="G24" s="326">
        <v>0</v>
      </c>
      <c r="H24" s="326">
        <v>572514.16</v>
      </c>
    </row>
    <row r="25" spans="1:8" ht="30.75" customHeight="1">
      <c r="A25" s="323" t="s">
        <v>340</v>
      </c>
      <c r="B25" s="324" t="s">
        <v>441</v>
      </c>
      <c r="C25" s="324" t="s">
        <v>441</v>
      </c>
      <c r="D25" s="325" t="s">
        <v>323</v>
      </c>
      <c r="E25" s="325" t="s">
        <v>442</v>
      </c>
      <c r="F25" s="326">
        <v>10.64</v>
      </c>
      <c r="G25" s="326">
        <v>0</v>
      </c>
      <c r="H25" s="326">
        <v>572503.52</v>
      </c>
    </row>
    <row r="26" spans="1:8" ht="30.75" customHeight="1">
      <c r="A26" s="323" t="s">
        <v>341</v>
      </c>
      <c r="B26" s="324" t="s">
        <v>441</v>
      </c>
      <c r="C26" s="324" t="s">
        <v>441</v>
      </c>
      <c r="D26" s="325" t="s">
        <v>323</v>
      </c>
      <c r="E26" s="325" t="s">
        <v>443</v>
      </c>
      <c r="F26" s="326">
        <v>0</v>
      </c>
      <c r="G26" s="326">
        <v>1172878.8700000001</v>
      </c>
      <c r="H26" s="326">
        <v>1745382.39</v>
      </c>
    </row>
    <row r="27" spans="1:8" ht="30.75" customHeight="1">
      <c r="A27" s="323" t="s">
        <v>342</v>
      </c>
      <c r="B27" s="324" t="s">
        <v>441</v>
      </c>
      <c r="C27" s="324" t="s">
        <v>441</v>
      </c>
      <c r="D27" s="325" t="s">
        <v>323</v>
      </c>
      <c r="E27" s="325" t="s">
        <v>444</v>
      </c>
      <c r="F27" s="326">
        <v>0</v>
      </c>
      <c r="G27" s="326">
        <v>408.1</v>
      </c>
      <c r="H27" s="326">
        <v>1745790.49</v>
      </c>
    </row>
    <row r="28" spans="1:8" ht="30.75" customHeight="1">
      <c r="A28" s="323" t="s">
        <v>343</v>
      </c>
      <c r="B28" s="324" t="s">
        <v>445</v>
      </c>
      <c r="C28" s="324" t="s">
        <v>445</v>
      </c>
      <c r="D28" s="325" t="s">
        <v>323</v>
      </c>
      <c r="E28" s="325" t="s">
        <v>446</v>
      </c>
      <c r="F28" s="326">
        <v>0</v>
      </c>
      <c r="G28" s="326">
        <v>1340649.07</v>
      </c>
      <c r="H28" s="326">
        <v>3086439.56</v>
      </c>
    </row>
    <row r="29" spans="1:8" ht="30.75" customHeight="1">
      <c r="A29" s="323" t="s">
        <v>344</v>
      </c>
      <c r="B29" s="324" t="s">
        <v>445</v>
      </c>
      <c r="C29" s="324" t="s">
        <v>445</v>
      </c>
      <c r="D29" s="325" t="s">
        <v>323</v>
      </c>
      <c r="E29" s="325" t="s">
        <v>447</v>
      </c>
      <c r="F29" s="326">
        <v>750326.39</v>
      </c>
      <c r="G29" s="326">
        <v>0</v>
      </c>
      <c r="H29" s="326">
        <v>2336113.17</v>
      </c>
    </row>
    <row r="30" spans="1:8" ht="30.75" customHeight="1">
      <c r="A30" s="323" t="s">
        <v>345</v>
      </c>
      <c r="B30" s="324" t="s">
        <v>445</v>
      </c>
      <c r="C30" s="324" t="s">
        <v>448</v>
      </c>
      <c r="D30" s="325" t="s">
        <v>323</v>
      </c>
      <c r="E30" s="325" t="s">
        <v>449</v>
      </c>
      <c r="F30" s="326">
        <v>557460.4</v>
      </c>
      <c r="G30" s="326">
        <v>0</v>
      </c>
      <c r="H30" s="326">
        <v>1778652.77</v>
      </c>
    </row>
    <row r="31" spans="1:8" ht="30.75" customHeight="1">
      <c r="A31" s="323" t="s">
        <v>346</v>
      </c>
      <c r="B31" s="324" t="s">
        <v>450</v>
      </c>
      <c r="C31" s="324" t="s">
        <v>450</v>
      </c>
      <c r="D31" s="325" t="s">
        <v>323</v>
      </c>
      <c r="E31" s="325" t="s">
        <v>451</v>
      </c>
      <c r="F31" s="326">
        <v>0</v>
      </c>
      <c r="G31" s="326">
        <v>1659414.87</v>
      </c>
      <c r="H31" s="326">
        <v>3438067.64</v>
      </c>
    </row>
    <row r="32" spans="1:8" ht="30.75" customHeight="1">
      <c r="A32" s="323" t="s">
        <v>347</v>
      </c>
      <c r="B32" s="324" t="s">
        <v>450</v>
      </c>
      <c r="C32" s="324" t="s">
        <v>450</v>
      </c>
      <c r="D32" s="325" t="s">
        <v>323</v>
      </c>
      <c r="E32" s="325" t="s">
        <v>452</v>
      </c>
      <c r="F32" s="326">
        <v>1693291.88</v>
      </c>
      <c r="G32" s="326">
        <v>0</v>
      </c>
      <c r="H32" s="326">
        <v>1744775.76</v>
      </c>
    </row>
    <row r="33" spans="1:8" ht="30.75" customHeight="1">
      <c r="A33" s="323" t="s">
        <v>348</v>
      </c>
      <c r="B33" s="324" t="s">
        <v>450</v>
      </c>
      <c r="C33" s="324" t="s">
        <v>450</v>
      </c>
      <c r="D33" s="325" t="s">
        <v>323</v>
      </c>
      <c r="E33" s="325" t="s">
        <v>453</v>
      </c>
      <c r="F33" s="326">
        <v>5.32</v>
      </c>
      <c r="G33" s="326">
        <v>0</v>
      </c>
      <c r="H33" s="326">
        <v>1744770.44</v>
      </c>
    </row>
    <row r="34" spans="1:8" ht="30.75" customHeight="1">
      <c r="A34" s="323"/>
      <c r="B34" s="324"/>
      <c r="C34" s="324"/>
      <c r="D34" s="325"/>
      <c r="E34" s="325" t="s">
        <v>454</v>
      </c>
      <c r="F34" s="326"/>
      <c r="G34" s="326"/>
      <c r="H34" s="326"/>
    </row>
    <row r="35" spans="1:8" ht="30.75" customHeight="1">
      <c r="A35" s="323" t="s">
        <v>349</v>
      </c>
      <c r="B35" s="324" t="s">
        <v>455</v>
      </c>
      <c r="C35" s="324" t="s">
        <v>455</v>
      </c>
      <c r="D35" s="325" t="s">
        <v>323</v>
      </c>
      <c r="E35" s="325" t="s">
        <v>456</v>
      </c>
      <c r="F35" s="326">
        <v>0</v>
      </c>
      <c r="G35" s="326">
        <v>2919</v>
      </c>
      <c r="H35" s="326">
        <v>1747689.44</v>
      </c>
    </row>
    <row r="36" spans="1:8" ht="30.75" customHeight="1">
      <c r="A36" s="323" t="s">
        <v>350</v>
      </c>
      <c r="B36" s="324" t="s">
        <v>457</v>
      </c>
      <c r="C36" s="324" t="s">
        <v>457</v>
      </c>
      <c r="D36" s="325" t="s">
        <v>323</v>
      </c>
      <c r="E36" s="325" t="s">
        <v>458</v>
      </c>
      <c r="F36" s="326">
        <v>5.32</v>
      </c>
      <c r="G36" s="326">
        <v>0</v>
      </c>
      <c r="H36" s="326">
        <v>1747684.12</v>
      </c>
    </row>
    <row r="37" spans="1:8" ht="30.75" customHeight="1">
      <c r="A37" s="323" t="s">
        <v>351</v>
      </c>
      <c r="B37" s="324" t="s">
        <v>457</v>
      </c>
      <c r="C37" s="324" t="s">
        <v>457</v>
      </c>
      <c r="D37" s="325" t="s">
        <v>323</v>
      </c>
      <c r="E37" s="325" t="s">
        <v>459</v>
      </c>
      <c r="F37" s="326">
        <v>0</v>
      </c>
      <c r="G37" s="326">
        <v>1110284.92</v>
      </c>
      <c r="H37" s="326">
        <v>2857969.04</v>
      </c>
    </row>
    <row r="38" spans="1:8" ht="30.75" customHeight="1">
      <c r="A38" s="323" t="s">
        <v>352</v>
      </c>
      <c r="B38" s="324" t="s">
        <v>460</v>
      </c>
      <c r="C38" s="324" t="s">
        <v>460</v>
      </c>
      <c r="D38" s="325" t="s">
        <v>323</v>
      </c>
      <c r="E38" s="325" t="s">
        <v>461</v>
      </c>
      <c r="F38" s="326">
        <v>0</v>
      </c>
      <c r="G38" s="326">
        <v>3680.85</v>
      </c>
      <c r="H38" s="326">
        <v>2861649.89</v>
      </c>
    </row>
    <row r="39" spans="1:8" ht="30.75" customHeight="1">
      <c r="A39" s="323" t="s">
        <v>353</v>
      </c>
      <c r="B39" s="324" t="s">
        <v>462</v>
      </c>
      <c r="C39" s="324" t="s">
        <v>462</v>
      </c>
      <c r="D39" s="325" t="s">
        <v>323</v>
      </c>
      <c r="E39" s="325" t="s">
        <v>463</v>
      </c>
      <c r="F39" s="326">
        <v>0</v>
      </c>
      <c r="G39" s="326">
        <v>10322</v>
      </c>
      <c r="H39" s="326">
        <v>2871971.89</v>
      </c>
    </row>
    <row r="40" spans="1:8" ht="30.75" customHeight="1">
      <c r="A40" s="323" t="s">
        <v>354</v>
      </c>
      <c r="B40" s="324" t="s">
        <v>464</v>
      </c>
      <c r="C40" s="324" t="s">
        <v>464</v>
      </c>
      <c r="D40" s="325" t="s">
        <v>323</v>
      </c>
      <c r="E40" s="325" t="s">
        <v>465</v>
      </c>
      <c r="F40" s="326">
        <v>0</v>
      </c>
      <c r="G40" s="326">
        <v>805587.94</v>
      </c>
      <c r="H40" s="326">
        <v>3677559.83</v>
      </c>
    </row>
    <row r="41" spans="1:8" ht="30.75" customHeight="1">
      <c r="A41" s="323" t="s">
        <v>355</v>
      </c>
      <c r="B41" s="324" t="s">
        <v>464</v>
      </c>
      <c r="C41" s="324" t="s">
        <v>464</v>
      </c>
      <c r="D41" s="325" t="s">
        <v>323</v>
      </c>
      <c r="E41" s="325" t="s">
        <v>466</v>
      </c>
      <c r="F41" s="326">
        <v>0.83</v>
      </c>
      <c r="G41" s="326">
        <v>0</v>
      </c>
      <c r="H41" s="326">
        <v>3677559</v>
      </c>
    </row>
    <row r="42" spans="1:8">
      <c r="A42" s="323" t="s">
        <v>356</v>
      </c>
      <c r="B42" s="324" t="s">
        <v>467</v>
      </c>
      <c r="C42" s="324" t="s">
        <v>467</v>
      </c>
      <c r="D42" s="325" t="s">
        <v>323</v>
      </c>
      <c r="E42" s="325" t="s">
        <v>468</v>
      </c>
      <c r="F42" s="326">
        <v>1481300.56</v>
      </c>
      <c r="G42" s="326">
        <v>0</v>
      </c>
      <c r="H42" s="326">
        <v>2196258.44</v>
      </c>
    </row>
    <row r="43" spans="1:8">
      <c r="A43" s="323" t="s">
        <v>357</v>
      </c>
      <c r="B43" s="324" t="s">
        <v>469</v>
      </c>
      <c r="C43" s="324" t="s">
        <v>469</v>
      </c>
      <c r="D43" s="325" t="s">
        <v>323</v>
      </c>
      <c r="E43" s="325" t="s">
        <v>470</v>
      </c>
      <c r="F43" s="326">
        <v>0</v>
      </c>
      <c r="G43" s="326">
        <v>754586.18</v>
      </c>
      <c r="H43" s="326">
        <v>2950844.62</v>
      </c>
    </row>
    <row r="44" spans="1:8">
      <c r="A44" s="323" t="s">
        <v>358</v>
      </c>
      <c r="B44" s="324" t="s">
        <v>469</v>
      </c>
      <c r="C44" s="324" t="s">
        <v>469</v>
      </c>
      <c r="D44" s="325" t="s">
        <v>323</v>
      </c>
      <c r="E44" s="325" t="s">
        <v>471</v>
      </c>
      <c r="F44" s="326">
        <v>755832.18</v>
      </c>
      <c r="G44" s="326">
        <v>0</v>
      </c>
      <c r="H44" s="326">
        <v>2195012.44</v>
      </c>
    </row>
    <row r="45" spans="1:8" ht="25.5">
      <c r="A45" s="323" t="s">
        <v>359</v>
      </c>
      <c r="B45" s="324" t="s">
        <v>469</v>
      </c>
      <c r="C45" s="324" t="s">
        <v>469</v>
      </c>
      <c r="D45" s="325" t="s">
        <v>323</v>
      </c>
      <c r="E45" s="325" t="s">
        <v>472</v>
      </c>
      <c r="F45" s="326">
        <v>4.49</v>
      </c>
      <c r="G45" s="326">
        <v>0</v>
      </c>
      <c r="H45" s="326">
        <v>2195007.9500000002</v>
      </c>
    </row>
    <row r="46" spans="1:8" ht="25.5">
      <c r="A46" s="323" t="s">
        <v>360</v>
      </c>
      <c r="B46" s="324" t="s">
        <v>469</v>
      </c>
      <c r="C46" s="324" t="s">
        <v>469</v>
      </c>
      <c r="D46" s="325" t="s">
        <v>323</v>
      </c>
      <c r="E46" s="325" t="s">
        <v>473</v>
      </c>
      <c r="F46" s="326">
        <v>5.32</v>
      </c>
      <c r="G46" s="326">
        <v>0</v>
      </c>
      <c r="H46" s="326">
        <v>2195002.63</v>
      </c>
    </row>
    <row r="47" spans="1:8" ht="25.5">
      <c r="A47" s="323" t="s">
        <v>361</v>
      </c>
      <c r="B47" s="324" t="s">
        <v>474</v>
      </c>
      <c r="C47" s="324" t="s">
        <v>474</v>
      </c>
      <c r="D47" s="325" t="s">
        <v>323</v>
      </c>
      <c r="E47" s="325" t="s">
        <v>475</v>
      </c>
      <c r="F47" s="326">
        <v>0</v>
      </c>
      <c r="G47" s="326">
        <v>26046</v>
      </c>
      <c r="H47" s="326">
        <v>2221048.63</v>
      </c>
    </row>
    <row r="48" spans="1:8">
      <c r="A48" s="323" t="s">
        <v>362</v>
      </c>
      <c r="B48" s="324" t="s">
        <v>476</v>
      </c>
      <c r="C48" s="324" t="s">
        <v>476</v>
      </c>
      <c r="D48" s="325" t="s">
        <v>323</v>
      </c>
      <c r="E48" s="325" t="s">
        <v>477</v>
      </c>
      <c r="F48" s="326">
        <v>813624.83</v>
      </c>
      <c r="G48" s="326">
        <v>0</v>
      </c>
      <c r="H48" s="326">
        <v>1407423.8</v>
      </c>
    </row>
    <row r="49" spans="1:8" ht="25.5">
      <c r="A49" s="323" t="s">
        <v>363</v>
      </c>
      <c r="B49" s="324" t="s">
        <v>250</v>
      </c>
      <c r="C49" s="324" t="s">
        <v>250</v>
      </c>
      <c r="D49" s="325" t="s">
        <v>323</v>
      </c>
      <c r="E49" s="325" t="s">
        <v>478</v>
      </c>
      <c r="F49" s="326">
        <v>5.32</v>
      </c>
      <c r="G49" s="326">
        <v>0</v>
      </c>
      <c r="H49" s="326">
        <v>1407418.48</v>
      </c>
    </row>
    <row r="50" spans="1:8">
      <c r="A50" s="323" t="s">
        <v>364</v>
      </c>
      <c r="B50" s="324" t="s">
        <v>250</v>
      </c>
      <c r="C50" s="324" t="s">
        <v>250</v>
      </c>
      <c r="D50" s="325" t="s">
        <v>323</v>
      </c>
      <c r="E50" s="325" t="s">
        <v>479</v>
      </c>
      <c r="F50" s="326">
        <v>0</v>
      </c>
      <c r="G50" s="326">
        <v>13504</v>
      </c>
      <c r="H50" s="326">
        <v>1420922.48</v>
      </c>
    </row>
    <row r="51" spans="1:8" ht="25.5">
      <c r="A51" s="323" t="s">
        <v>365</v>
      </c>
      <c r="B51" s="324" t="s">
        <v>480</v>
      </c>
      <c r="C51" s="324" t="s">
        <v>480</v>
      </c>
      <c r="D51" s="325" t="s">
        <v>323</v>
      </c>
      <c r="E51" s="325" t="s">
        <v>481</v>
      </c>
      <c r="F51" s="326">
        <v>5.32</v>
      </c>
      <c r="G51" s="326">
        <v>0</v>
      </c>
      <c r="H51" s="326">
        <v>1420917.16</v>
      </c>
    </row>
    <row r="52" spans="1:8">
      <c r="A52" s="323" t="s">
        <v>366</v>
      </c>
      <c r="B52" s="324" t="s">
        <v>480</v>
      </c>
      <c r="C52" s="324" t="s">
        <v>480</v>
      </c>
      <c r="D52" s="325" t="s">
        <v>323</v>
      </c>
      <c r="E52" s="325" t="s">
        <v>482</v>
      </c>
      <c r="F52" s="326">
        <v>0</v>
      </c>
      <c r="G52" s="326">
        <v>1429334.13</v>
      </c>
      <c r="H52" s="326">
        <v>2850251.29</v>
      </c>
    </row>
    <row r="53" spans="1:8">
      <c r="A53" s="323" t="s">
        <v>367</v>
      </c>
      <c r="B53" s="324" t="s">
        <v>480</v>
      </c>
      <c r="C53" s="324" t="s">
        <v>480</v>
      </c>
      <c r="D53" s="325" t="s">
        <v>323</v>
      </c>
      <c r="E53" s="325" t="s">
        <v>483</v>
      </c>
      <c r="F53" s="326">
        <v>22532.71</v>
      </c>
      <c r="G53" s="326">
        <v>0</v>
      </c>
      <c r="H53" s="326">
        <v>2827718.58</v>
      </c>
    </row>
    <row r="54" spans="1:8">
      <c r="A54" s="323" t="s">
        <v>368</v>
      </c>
      <c r="B54" s="324" t="s">
        <v>480</v>
      </c>
      <c r="C54" s="324" t="s">
        <v>480</v>
      </c>
      <c r="D54" s="325" t="s">
        <v>323</v>
      </c>
      <c r="E54" s="325" t="s">
        <v>484</v>
      </c>
      <c r="F54" s="326">
        <v>1406801.42</v>
      </c>
      <c r="G54" s="326">
        <v>0</v>
      </c>
      <c r="H54" s="326">
        <v>1420917.16</v>
      </c>
    </row>
    <row r="55" spans="1:8">
      <c r="A55" s="323" t="s">
        <v>369</v>
      </c>
      <c r="B55" s="324" t="s">
        <v>480</v>
      </c>
      <c r="C55" s="324" t="s">
        <v>480</v>
      </c>
      <c r="D55" s="325" t="s">
        <v>323</v>
      </c>
      <c r="E55" s="325" t="s">
        <v>485</v>
      </c>
      <c r="F55" s="326">
        <v>0</v>
      </c>
      <c r="G55" s="326">
        <v>10000000</v>
      </c>
      <c r="H55" s="326">
        <v>11420917.16</v>
      </c>
    </row>
    <row r="56" spans="1:8">
      <c r="A56" s="323" t="s">
        <v>370</v>
      </c>
      <c r="B56" s="324" t="s">
        <v>480</v>
      </c>
      <c r="C56" s="324" t="s">
        <v>480</v>
      </c>
      <c r="D56" s="325" t="s">
        <v>323</v>
      </c>
      <c r="E56" s="325" t="s">
        <v>486</v>
      </c>
      <c r="F56" s="326">
        <v>7384138.8700000001</v>
      </c>
      <c r="G56" s="326">
        <v>0</v>
      </c>
      <c r="H56" s="326">
        <v>4036778.29</v>
      </c>
    </row>
    <row r="57" spans="1:8">
      <c r="A57" s="323" t="s">
        <v>371</v>
      </c>
      <c r="B57" s="324" t="s">
        <v>487</v>
      </c>
      <c r="C57" s="324" t="s">
        <v>487</v>
      </c>
      <c r="D57" s="325" t="s">
        <v>323</v>
      </c>
      <c r="E57" s="325" t="s">
        <v>488</v>
      </c>
      <c r="F57" s="326">
        <v>0</v>
      </c>
      <c r="G57" s="326">
        <v>851697.41</v>
      </c>
      <c r="H57" s="326">
        <v>4888475.7</v>
      </c>
    </row>
    <row r="58" spans="1:8">
      <c r="A58" s="323" t="s">
        <v>372</v>
      </c>
      <c r="B58" s="324" t="s">
        <v>487</v>
      </c>
      <c r="C58" s="324" t="s">
        <v>487</v>
      </c>
      <c r="D58" s="325" t="s">
        <v>323</v>
      </c>
      <c r="E58" s="325" t="s">
        <v>489</v>
      </c>
      <c r="F58" s="326">
        <v>861936.41</v>
      </c>
      <c r="G58" s="326">
        <v>0</v>
      </c>
      <c r="H58" s="326">
        <v>4026539.29</v>
      </c>
    </row>
    <row r="59" spans="1:8">
      <c r="A59" s="323" t="s">
        <v>373</v>
      </c>
      <c r="B59" s="324" t="s">
        <v>487</v>
      </c>
      <c r="C59" s="324" t="s">
        <v>487</v>
      </c>
      <c r="D59" s="325" t="s">
        <v>323</v>
      </c>
      <c r="E59" s="325" t="s">
        <v>490</v>
      </c>
      <c r="F59" s="326">
        <v>748773.73</v>
      </c>
      <c r="G59" s="326">
        <v>0</v>
      </c>
      <c r="H59" s="326">
        <v>3277765.56</v>
      </c>
    </row>
    <row r="60" spans="1:8">
      <c r="A60" s="323" t="s">
        <v>374</v>
      </c>
      <c r="B60" s="324" t="s">
        <v>491</v>
      </c>
      <c r="C60" s="324" t="s">
        <v>491</v>
      </c>
      <c r="D60" s="325" t="s">
        <v>323</v>
      </c>
      <c r="E60" s="325" t="s">
        <v>492</v>
      </c>
      <c r="F60" s="326">
        <v>2499992.17</v>
      </c>
      <c r="G60" s="326">
        <v>0</v>
      </c>
      <c r="H60" s="326">
        <v>777773.39</v>
      </c>
    </row>
    <row r="61" spans="1:8">
      <c r="A61" s="323" t="s">
        <v>375</v>
      </c>
      <c r="B61" s="324" t="s">
        <v>493</v>
      </c>
      <c r="C61" s="324" t="s">
        <v>493</v>
      </c>
      <c r="D61" s="325" t="s">
        <v>323</v>
      </c>
      <c r="E61" s="325" t="s">
        <v>494</v>
      </c>
      <c r="F61" s="326">
        <v>0</v>
      </c>
      <c r="G61" s="326">
        <v>3134952.08</v>
      </c>
      <c r="H61" s="326">
        <v>3912725.47</v>
      </c>
    </row>
    <row r="62" spans="1:8">
      <c r="A62" s="323" t="s">
        <v>376</v>
      </c>
      <c r="B62" s="324" t="s">
        <v>493</v>
      </c>
      <c r="C62" s="324" t="s">
        <v>493</v>
      </c>
      <c r="D62" s="325" t="s">
        <v>323</v>
      </c>
      <c r="E62" s="325" t="s">
        <v>495</v>
      </c>
      <c r="F62" s="326">
        <v>720396.08</v>
      </c>
      <c r="G62" s="326">
        <v>0</v>
      </c>
      <c r="H62" s="326">
        <v>3192329.39</v>
      </c>
    </row>
    <row r="63" spans="1:8">
      <c r="A63" s="323" t="s">
        <v>377</v>
      </c>
      <c r="B63" s="324" t="s">
        <v>493</v>
      </c>
      <c r="C63" s="324" t="s">
        <v>493</v>
      </c>
      <c r="D63" s="325" t="s">
        <v>323</v>
      </c>
      <c r="E63" s="325" t="s">
        <v>495</v>
      </c>
      <c r="F63" s="326">
        <v>27308.639999999999</v>
      </c>
      <c r="G63" s="326">
        <v>0</v>
      </c>
      <c r="H63" s="326">
        <v>3165020.75</v>
      </c>
    </row>
    <row r="64" spans="1:8">
      <c r="A64" s="323" t="s">
        <v>378</v>
      </c>
      <c r="B64" s="324" t="s">
        <v>493</v>
      </c>
      <c r="C64" s="324" t="s">
        <v>493</v>
      </c>
      <c r="D64" s="325" t="s">
        <v>323</v>
      </c>
      <c r="E64" s="325" t="s">
        <v>496</v>
      </c>
      <c r="F64" s="326">
        <v>750464.75</v>
      </c>
      <c r="G64" s="326">
        <v>0</v>
      </c>
      <c r="H64" s="326">
        <v>2414556</v>
      </c>
    </row>
    <row r="65" spans="1:8">
      <c r="A65" s="323" t="s">
        <v>379</v>
      </c>
      <c r="B65" s="324" t="s">
        <v>493</v>
      </c>
      <c r="C65" s="324" t="s">
        <v>493</v>
      </c>
      <c r="D65" s="325" t="s">
        <v>323</v>
      </c>
      <c r="E65" s="325" t="s">
        <v>496</v>
      </c>
      <c r="F65" s="326">
        <v>0.05</v>
      </c>
      <c r="G65" s="326">
        <v>0</v>
      </c>
      <c r="H65" s="326">
        <v>2414555.9500000002</v>
      </c>
    </row>
    <row r="66" spans="1:8" ht="25.5">
      <c r="A66" s="323" t="s">
        <v>380</v>
      </c>
      <c r="B66" s="324" t="s">
        <v>493</v>
      </c>
      <c r="C66" s="324" t="s">
        <v>493</v>
      </c>
      <c r="D66" s="325" t="s">
        <v>323</v>
      </c>
      <c r="E66" s="325" t="s">
        <v>497</v>
      </c>
      <c r="F66" s="326">
        <v>15.96</v>
      </c>
      <c r="G66" s="326">
        <v>0</v>
      </c>
      <c r="H66" s="326">
        <v>2414539.9900000002</v>
      </c>
    </row>
    <row r="67" spans="1:8">
      <c r="A67" s="323" t="s">
        <v>381</v>
      </c>
      <c r="B67" s="324" t="s">
        <v>498</v>
      </c>
      <c r="C67" s="324" t="s">
        <v>498</v>
      </c>
      <c r="D67" s="325" t="s">
        <v>323</v>
      </c>
      <c r="E67" s="325" t="s">
        <v>499</v>
      </c>
      <c r="F67" s="326">
        <v>750210.94</v>
      </c>
      <c r="G67" s="326">
        <v>0</v>
      </c>
      <c r="H67" s="326">
        <v>1664329.05</v>
      </c>
    </row>
    <row r="68" spans="1:8">
      <c r="A68" s="323" t="s">
        <v>382</v>
      </c>
      <c r="B68" s="324" t="s">
        <v>500</v>
      </c>
      <c r="C68" s="324" t="s">
        <v>500</v>
      </c>
      <c r="D68" s="325" t="s">
        <v>323</v>
      </c>
      <c r="E68" s="325" t="s">
        <v>501</v>
      </c>
      <c r="F68" s="326">
        <v>748610.88</v>
      </c>
      <c r="G68" s="326">
        <v>0</v>
      </c>
      <c r="H68" s="326">
        <v>915718.17</v>
      </c>
    </row>
    <row r="69" spans="1:8">
      <c r="A69" s="323" t="s">
        <v>383</v>
      </c>
      <c r="B69" s="324" t="s">
        <v>502</v>
      </c>
      <c r="C69" s="324" t="s">
        <v>502</v>
      </c>
      <c r="D69" s="325" t="s">
        <v>323</v>
      </c>
      <c r="E69" s="325" t="s">
        <v>503</v>
      </c>
      <c r="F69" s="326">
        <v>748002.2</v>
      </c>
      <c r="G69" s="326">
        <v>0</v>
      </c>
      <c r="H69" s="326">
        <v>167715.97</v>
      </c>
    </row>
    <row r="70" spans="1:8">
      <c r="A70" s="323" t="s">
        <v>384</v>
      </c>
      <c r="B70" s="324" t="s">
        <v>504</v>
      </c>
      <c r="C70" s="324" t="s">
        <v>504</v>
      </c>
      <c r="D70" s="325" t="s">
        <v>323</v>
      </c>
      <c r="E70" s="325" t="s">
        <v>505</v>
      </c>
      <c r="F70" s="326">
        <v>0</v>
      </c>
      <c r="G70" s="326">
        <v>3186</v>
      </c>
      <c r="H70" s="326">
        <v>170901.97</v>
      </c>
    </row>
    <row r="71" spans="1:8" ht="25.5">
      <c r="A71" s="323" t="s">
        <v>385</v>
      </c>
      <c r="B71" s="324" t="s">
        <v>506</v>
      </c>
      <c r="C71" s="324" t="s">
        <v>506</v>
      </c>
      <c r="D71" s="325" t="s">
        <v>323</v>
      </c>
      <c r="E71" s="325" t="s">
        <v>507</v>
      </c>
      <c r="F71" s="326">
        <v>0.99</v>
      </c>
      <c r="G71" s="326">
        <v>0</v>
      </c>
      <c r="H71" s="326">
        <v>170900.98</v>
      </c>
    </row>
    <row r="72" spans="1:8">
      <c r="A72" s="323" t="s">
        <v>386</v>
      </c>
      <c r="B72" s="324" t="s">
        <v>508</v>
      </c>
      <c r="C72" s="324" t="s">
        <v>508</v>
      </c>
      <c r="D72" s="325" t="s">
        <v>323</v>
      </c>
      <c r="E72" s="325" t="s">
        <v>509</v>
      </c>
      <c r="F72" s="326">
        <v>0</v>
      </c>
      <c r="G72" s="326">
        <v>763632.3</v>
      </c>
      <c r="H72" s="326">
        <v>934533.28</v>
      </c>
    </row>
    <row r="73" spans="1:8">
      <c r="A73" s="323" t="s">
        <v>387</v>
      </c>
      <c r="B73" s="324" t="s">
        <v>508</v>
      </c>
      <c r="C73" s="324" t="s">
        <v>508</v>
      </c>
      <c r="D73" s="325" t="s">
        <v>323</v>
      </c>
      <c r="E73" s="325" t="s">
        <v>510</v>
      </c>
      <c r="F73" s="326">
        <v>581414.64</v>
      </c>
      <c r="G73" s="326">
        <v>0</v>
      </c>
      <c r="H73" s="326">
        <v>353118.64</v>
      </c>
    </row>
    <row r="74" spans="1:8">
      <c r="A74" s="323" t="s">
        <v>388</v>
      </c>
      <c r="B74" s="324" t="s">
        <v>508</v>
      </c>
      <c r="C74" s="324" t="s">
        <v>508</v>
      </c>
      <c r="D74" s="325" t="s">
        <v>323</v>
      </c>
      <c r="E74" s="325" t="s">
        <v>510</v>
      </c>
      <c r="F74" s="326">
        <v>170900.98</v>
      </c>
      <c r="G74" s="326">
        <v>0</v>
      </c>
      <c r="H74" s="326">
        <v>182217.66</v>
      </c>
    </row>
    <row r="75" spans="1:8" ht="25.5">
      <c r="A75" s="323" t="s">
        <v>389</v>
      </c>
      <c r="B75" s="324" t="s">
        <v>508</v>
      </c>
      <c r="C75" s="324" t="s">
        <v>508</v>
      </c>
      <c r="D75" s="325" t="s">
        <v>323</v>
      </c>
      <c r="E75" s="325" t="s">
        <v>511</v>
      </c>
      <c r="F75" s="326">
        <v>4.33</v>
      </c>
      <c r="G75" s="326">
        <v>0</v>
      </c>
      <c r="H75" s="326">
        <v>182213.33</v>
      </c>
    </row>
    <row r="76" spans="1:8" ht="25.5">
      <c r="A76" s="323" t="s">
        <v>390</v>
      </c>
      <c r="B76" s="324" t="s">
        <v>512</v>
      </c>
      <c r="C76" s="324" t="s">
        <v>512</v>
      </c>
      <c r="D76" s="325" t="s">
        <v>323</v>
      </c>
      <c r="E76" s="325" t="s">
        <v>513</v>
      </c>
      <c r="F76" s="326">
        <v>0</v>
      </c>
      <c r="G76" s="326">
        <v>10000000</v>
      </c>
      <c r="H76" s="326">
        <v>10182213.33</v>
      </c>
    </row>
    <row r="77" spans="1:8">
      <c r="A77" s="323" t="s">
        <v>391</v>
      </c>
      <c r="B77" s="324" t="s">
        <v>514</v>
      </c>
      <c r="C77" s="324" t="s">
        <v>514</v>
      </c>
      <c r="D77" s="325" t="s">
        <v>323</v>
      </c>
      <c r="E77" s="325" t="s">
        <v>515</v>
      </c>
      <c r="F77" s="326">
        <v>521.65</v>
      </c>
      <c r="G77" s="326">
        <v>0</v>
      </c>
      <c r="H77" s="326">
        <v>10181691.68</v>
      </c>
    </row>
    <row r="78" spans="1:8" ht="25.5">
      <c r="A78" s="323" t="s">
        <v>392</v>
      </c>
      <c r="B78" s="324" t="s">
        <v>276</v>
      </c>
      <c r="C78" s="324" t="s">
        <v>276</v>
      </c>
      <c r="D78" s="325" t="s">
        <v>323</v>
      </c>
      <c r="E78" s="325" t="s">
        <v>516</v>
      </c>
      <c r="F78" s="326">
        <v>5.32</v>
      </c>
      <c r="G78" s="326">
        <v>0</v>
      </c>
      <c r="H78" s="326">
        <v>10181686.359999999</v>
      </c>
    </row>
    <row r="79" spans="1:8" ht="25.5">
      <c r="A79" s="323" t="s">
        <v>393</v>
      </c>
      <c r="B79" s="324" t="s">
        <v>517</v>
      </c>
      <c r="C79" s="324" t="s">
        <v>517</v>
      </c>
      <c r="D79" s="325" t="s">
        <v>323</v>
      </c>
      <c r="E79" s="325" t="s">
        <v>518</v>
      </c>
      <c r="F79" s="326">
        <v>5.32</v>
      </c>
      <c r="G79" s="326">
        <v>0</v>
      </c>
      <c r="H79" s="326">
        <v>10181681.039999999</v>
      </c>
    </row>
    <row r="80" spans="1:8">
      <c r="A80" s="323" t="s">
        <v>394</v>
      </c>
      <c r="B80" s="324" t="s">
        <v>517</v>
      </c>
      <c r="C80" s="324" t="s">
        <v>517</v>
      </c>
      <c r="D80" s="325" t="s">
        <v>323</v>
      </c>
      <c r="E80" s="325" t="s">
        <v>519</v>
      </c>
      <c r="F80" s="326">
        <v>0</v>
      </c>
      <c r="G80" s="326">
        <v>752981.6</v>
      </c>
      <c r="H80" s="326">
        <v>10934662.640000001</v>
      </c>
    </row>
    <row r="81" spans="1:8">
      <c r="A81" s="323" t="s">
        <v>395</v>
      </c>
      <c r="B81" s="324" t="s">
        <v>517</v>
      </c>
      <c r="C81" s="324" t="s">
        <v>517</v>
      </c>
      <c r="D81" s="325" t="s">
        <v>323</v>
      </c>
      <c r="E81" s="325" t="s">
        <v>520</v>
      </c>
      <c r="F81" s="326">
        <v>753869.6</v>
      </c>
      <c r="G81" s="326">
        <v>0</v>
      </c>
      <c r="H81" s="326">
        <v>10180793.039999999</v>
      </c>
    </row>
    <row r="82" spans="1:8">
      <c r="A82" s="323" t="s">
        <v>396</v>
      </c>
      <c r="B82" s="324" t="s">
        <v>521</v>
      </c>
      <c r="C82" s="324" t="s">
        <v>521</v>
      </c>
      <c r="D82" s="325" t="s">
        <v>323</v>
      </c>
      <c r="E82" s="325" t="s">
        <v>522</v>
      </c>
      <c r="F82" s="326">
        <v>0</v>
      </c>
      <c r="G82" s="326">
        <v>811537.32</v>
      </c>
      <c r="H82" s="326">
        <v>10992330.359999999</v>
      </c>
    </row>
    <row r="83" spans="1:8">
      <c r="A83" s="323" t="s">
        <v>397</v>
      </c>
      <c r="B83" s="324" t="s">
        <v>523</v>
      </c>
      <c r="C83" s="324" t="s">
        <v>523</v>
      </c>
      <c r="D83" s="325" t="s">
        <v>323</v>
      </c>
      <c r="E83" s="325" t="s">
        <v>524</v>
      </c>
      <c r="F83" s="326">
        <v>749673.77</v>
      </c>
      <c r="G83" s="326">
        <v>0</v>
      </c>
      <c r="H83" s="326">
        <v>10242656.59</v>
      </c>
    </row>
    <row r="84" spans="1:8">
      <c r="A84" s="323" t="s">
        <v>398</v>
      </c>
      <c r="B84" s="324" t="s">
        <v>291</v>
      </c>
      <c r="C84" s="324" t="s">
        <v>291</v>
      </c>
      <c r="D84" s="325" t="s">
        <v>323</v>
      </c>
      <c r="E84" s="325" t="s">
        <v>525</v>
      </c>
      <c r="F84" s="326">
        <v>9899618.75</v>
      </c>
      <c r="G84" s="326">
        <v>0</v>
      </c>
      <c r="H84" s="326">
        <v>343037.84</v>
      </c>
    </row>
    <row r="85" spans="1:8" ht="25.5">
      <c r="A85" s="323" t="s">
        <v>399</v>
      </c>
      <c r="B85" s="324" t="s">
        <v>294</v>
      </c>
      <c r="C85" s="324" t="s">
        <v>294</v>
      </c>
      <c r="D85" s="325" t="s">
        <v>323</v>
      </c>
      <c r="E85" s="325" t="s">
        <v>526</v>
      </c>
      <c r="F85" s="326">
        <v>0.61</v>
      </c>
      <c r="G85" s="326">
        <v>0</v>
      </c>
      <c r="H85" s="326">
        <v>343037.23</v>
      </c>
    </row>
    <row r="86" spans="1:8">
      <c r="A86" s="323" t="s">
        <v>400</v>
      </c>
      <c r="B86" s="324" t="s">
        <v>294</v>
      </c>
      <c r="C86" s="324" t="s">
        <v>294</v>
      </c>
      <c r="D86" s="325" t="s">
        <v>323</v>
      </c>
      <c r="E86" s="325" t="s">
        <v>527</v>
      </c>
      <c r="F86" s="326">
        <v>0</v>
      </c>
      <c r="G86" s="326">
        <v>818013.22</v>
      </c>
      <c r="H86" s="326">
        <v>1161050.45</v>
      </c>
    </row>
    <row r="87" spans="1:8">
      <c r="A87" s="323" t="s">
        <v>401</v>
      </c>
      <c r="B87" s="324" t="s">
        <v>294</v>
      </c>
      <c r="C87" s="324" t="s">
        <v>294</v>
      </c>
      <c r="D87" s="325" t="s">
        <v>323</v>
      </c>
      <c r="E87" s="325" t="s">
        <v>528</v>
      </c>
      <c r="F87" s="326">
        <v>489917.99</v>
      </c>
      <c r="G87" s="326">
        <v>0</v>
      </c>
      <c r="H87" s="326">
        <v>671132.46</v>
      </c>
    </row>
    <row r="88" spans="1:8">
      <c r="A88" s="323" t="s">
        <v>402</v>
      </c>
      <c r="B88" s="324" t="s">
        <v>294</v>
      </c>
      <c r="C88" s="324" t="s">
        <v>294</v>
      </c>
      <c r="D88" s="325" t="s">
        <v>323</v>
      </c>
      <c r="E88" s="325" t="s">
        <v>528</v>
      </c>
      <c r="F88" s="326">
        <v>343037.23</v>
      </c>
      <c r="G88" s="326">
        <v>0</v>
      </c>
      <c r="H88" s="326">
        <v>328095.23</v>
      </c>
    </row>
    <row r="89" spans="1:8" ht="25.5">
      <c r="A89" s="323" t="s">
        <v>403</v>
      </c>
      <c r="B89" s="324" t="s">
        <v>294</v>
      </c>
      <c r="C89" s="324" t="s">
        <v>294</v>
      </c>
      <c r="D89" s="325" t="s">
        <v>323</v>
      </c>
      <c r="E89" s="325" t="s">
        <v>529</v>
      </c>
      <c r="F89" s="326">
        <v>4.71</v>
      </c>
      <c r="G89" s="326">
        <v>0</v>
      </c>
      <c r="H89" s="326">
        <v>328090.52</v>
      </c>
    </row>
    <row r="90" spans="1:8" ht="25.5">
      <c r="A90" s="323" t="s">
        <v>404</v>
      </c>
      <c r="B90" s="324" t="s">
        <v>294</v>
      </c>
      <c r="C90" s="324" t="s">
        <v>294</v>
      </c>
      <c r="D90" s="325" t="s">
        <v>323</v>
      </c>
      <c r="E90" s="325" t="s">
        <v>529</v>
      </c>
      <c r="F90" s="326">
        <v>5.32</v>
      </c>
      <c r="G90" s="326">
        <v>0</v>
      </c>
      <c r="H90" s="326">
        <v>328085.2</v>
      </c>
    </row>
    <row r="91" spans="1:8" ht="25.5">
      <c r="A91" s="323" t="s">
        <v>405</v>
      </c>
      <c r="B91" s="324" t="s">
        <v>530</v>
      </c>
      <c r="C91" s="324" t="s">
        <v>530</v>
      </c>
      <c r="D91" s="325" t="s">
        <v>323</v>
      </c>
      <c r="E91" s="325" t="s">
        <v>531</v>
      </c>
      <c r="F91" s="326">
        <v>5.32</v>
      </c>
      <c r="G91" s="326">
        <v>0</v>
      </c>
      <c r="H91" s="326">
        <v>328079.88</v>
      </c>
    </row>
    <row r="92" spans="1:8">
      <c r="A92" s="323" t="s">
        <v>406</v>
      </c>
      <c r="B92" s="324" t="s">
        <v>530</v>
      </c>
      <c r="C92" s="324" t="s">
        <v>530</v>
      </c>
      <c r="D92" s="325" t="s">
        <v>323</v>
      </c>
      <c r="E92" s="325" t="s">
        <v>532</v>
      </c>
      <c r="F92" s="326">
        <v>0</v>
      </c>
      <c r="G92" s="326">
        <v>775241.25</v>
      </c>
      <c r="H92" s="326">
        <v>1103321.1299999999</v>
      </c>
    </row>
    <row r="93" spans="1:8">
      <c r="A93" s="323" t="s">
        <v>407</v>
      </c>
      <c r="B93" s="324" t="s">
        <v>530</v>
      </c>
      <c r="C93" s="324" t="s">
        <v>530</v>
      </c>
      <c r="D93" s="325" t="s">
        <v>323</v>
      </c>
      <c r="E93" s="325" t="s">
        <v>533</v>
      </c>
      <c r="F93" s="326">
        <v>751825.15</v>
      </c>
      <c r="G93" s="326">
        <v>0</v>
      </c>
      <c r="H93" s="326">
        <v>351495.98</v>
      </c>
    </row>
    <row r="94" spans="1:8" ht="25.5">
      <c r="A94" s="323" t="s">
        <v>534</v>
      </c>
      <c r="B94" s="324" t="s">
        <v>530</v>
      </c>
      <c r="C94" s="324" t="s">
        <v>530</v>
      </c>
      <c r="D94" s="325" t="s">
        <v>323</v>
      </c>
      <c r="E94" s="325" t="s">
        <v>535</v>
      </c>
      <c r="F94" s="326">
        <v>0</v>
      </c>
      <c r="G94" s="326">
        <v>3663</v>
      </c>
      <c r="H94" s="326">
        <v>355158.98</v>
      </c>
    </row>
    <row r="95" spans="1:8">
      <c r="A95" s="323" t="s">
        <v>536</v>
      </c>
      <c r="B95" s="324" t="s">
        <v>300</v>
      </c>
      <c r="C95" s="324" t="s">
        <v>300</v>
      </c>
      <c r="D95" s="325" t="s">
        <v>323</v>
      </c>
      <c r="E95" s="325" t="s">
        <v>537</v>
      </c>
      <c r="F95" s="326">
        <v>0</v>
      </c>
      <c r="G95" s="326">
        <v>752701.27</v>
      </c>
      <c r="H95" s="326">
        <v>1107860.25</v>
      </c>
    </row>
    <row r="96" spans="1:8">
      <c r="A96" s="323" t="s">
        <v>538</v>
      </c>
      <c r="B96" s="324" t="s">
        <v>300</v>
      </c>
      <c r="C96" s="324" t="s">
        <v>300</v>
      </c>
      <c r="D96" s="325" t="s">
        <v>323</v>
      </c>
      <c r="E96" s="325" t="s">
        <v>539</v>
      </c>
      <c r="F96" s="326">
        <v>397940.61</v>
      </c>
      <c r="G96" s="326">
        <v>0</v>
      </c>
      <c r="H96" s="326">
        <v>709919.64</v>
      </c>
    </row>
    <row r="97" spans="1:8">
      <c r="A97" s="323" t="s">
        <v>540</v>
      </c>
      <c r="B97" s="324" t="s">
        <v>300</v>
      </c>
      <c r="C97" s="324" t="s">
        <v>300</v>
      </c>
      <c r="D97" s="325" t="s">
        <v>323</v>
      </c>
      <c r="E97" s="325" t="s">
        <v>541</v>
      </c>
      <c r="F97" s="326">
        <v>351495</v>
      </c>
      <c r="G97" s="326">
        <v>0</v>
      </c>
      <c r="H97" s="326">
        <v>358424.64</v>
      </c>
    </row>
    <row r="98" spans="1:8" ht="25.5">
      <c r="A98" s="323" t="s">
        <v>542</v>
      </c>
      <c r="B98" s="324" t="s">
        <v>543</v>
      </c>
      <c r="C98" s="324" t="s">
        <v>543</v>
      </c>
      <c r="D98" s="325" t="s">
        <v>323</v>
      </c>
      <c r="E98" s="325" t="s">
        <v>544</v>
      </c>
      <c r="F98" s="326">
        <v>10.64</v>
      </c>
      <c r="G98" s="326">
        <v>0</v>
      </c>
      <c r="H98" s="326">
        <v>358414</v>
      </c>
    </row>
    <row r="99" spans="1:8">
      <c r="A99" s="323" t="s">
        <v>545</v>
      </c>
      <c r="B99" s="324" t="s">
        <v>301</v>
      </c>
      <c r="C99" s="324" t="s">
        <v>301</v>
      </c>
      <c r="D99" s="325" t="s">
        <v>323</v>
      </c>
      <c r="E99" s="325" t="s">
        <v>546</v>
      </c>
      <c r="F99" s="326">
        <v>0</v>
      </c>
      <c r="G99" s="326">
        <v>2607481.15</v>
      </c>
      <c r="H99" s="326">
        <v>2965895.15</v>
      </c>
    </row>
    <row r="100" spans="1:8">
      <c r="A100" s="323" t="s">
        <v>547</v>
      </c>
      <c r="B100" s="324" t="s">
        <v>301</v>
      </c>
      <c r="C100" s="324" t="s">
        <v>301</v>
      </c>
      <c r="D100" s="325" t="s">
        <v>323</v>
      </c>
      <c r="E100" s="325" t="s">
        <v>548</v>
      </c>
      <c r="F100" s="326">
        <v>749143.4</v>
      </c>
      <c r="G100" s="326">
        <v>0</v>
      </c>
      <c r="H100" s="326">
        <v>2216751.75</v>
      </c>
    </row>
    <row r="101" spans="1:8" ht="25.5">
      <c r="A101" s="323" t="s">
        <v>549</v>
      </c>
      <c r="B101" s="324" t="s">
        <v>550</v>
      </c>
      <c r="C101" s="324" t="s">
        <v>550</v>
      </c>
      <c r="D101" s="325" t="s">
        <v>323</v>
      </c>
      <c r="E101" s="325" t="s">
        <v>551</v>
      </c>
      <c r="F101" s="326">
        <v>5.32</v>
      </c>
      <c r="G101" s="326">
        <v>0</v>
      </c>
      <c r="H101" s="326">
        <v>2216746.4300000002</v>
      </c>
    </row>
    <row r="102" spans="1:8" ht="25.5">
      <c r="A102" s="323" t="s">
        <v>552</v>
      </c>
      <c r="B102" s="324" t="s">
        <v>550</v>
      </c>
      <c r="C102" s="324" t="s">
        <v>553</v>
      </c>
      <c r="D102" s="325" t="s">
        <v>323</v>
      </c>
      <c r="E102" s="325" t="s">
        <v>554</v>
      </c>
      <c r="F102" s="326">
        <v>0</v>
      </c>
      <c r="G102" s="326">
        <v>21154</v>
      </c>
      <c r="H102" s="326">
        <v>2237900.4300000002</v>
      </c>
    </row>
    <row r="103" spans="1:8">
      <c r="A103" s="323" t="s">
        <v>555</v>
      </c>
      <c r="B103" s="324" t="s">
        <v>556</v>
      </c>
      <c r="C103" s="324" t="s">
        <v>556</v>
      </c>
      <c r="D103" s="325" t="s">
        <v>323</v>
      </c>
      <c r="E103" s="325" t="s">
        <v>557</v>
      </c>
      <c r="F103" s="326">
        <v>0</v>
      </c>
      <c r="G103" s="326">
        <v>838630.56</v>
      </c>
      <c r="H103" s="326">
        <v>3076530.99</v>
      </c>
    </row>
  </sheetData>
  <mergeCells count="8">
    <mergeCell ref="B5:I5"/>
    <mergeCell ref="A7:G7"/>
    <mergeCell ref="B1:C1"/>
    <mergeCell ref="B2:I2"/>
    <mergeCell ref="B3:C3"/>
    <mergeCell ref="D3:I3"/>
    <mergeCell ref="B4:C4"/>
    <mergeCell ref="F4:I4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8208-30F1-4C69-83F5-8C98A9738181}">
  <dimension ref="A1:F16"/>
  <sheetViews>
    <sheetView workbookViewId="0">
      <selection activeCell="E16" sqref="E16"/>
    </sheetView>
  </sheetViews>
  <sheetFormatPr defaultRowHeight="15"/>
  <cols>
    <col min="1" max="1" width="2.85546875" customWidth="1"/>
    <col min="2" max="2" width="52.85546875" customWidth="1"/>
    <col min="3" max="3" width="15" customWidth="1"/>
    <col min="4" max="4" width="16.28515625" customWidth="1"/>
    <col min="5" max="5" width="11.5703125" customWidth="1"/>
    <col min="6" max="7" width="14" customWidth="1"/>
  </cols>
  <sheetData>
    <row r="1" spans="1:6" ht="19.5">
      <c r="A1" s="377" t="s">
        <v>408</v>
      </c>
      <c r="B1" s="377"/>
      <c r="C1" s="377"/>
      <c r="D1" s="377"/>
    </row>
    <row r="3" spans="1:6" ht="17.25">
      <c r="B3" s="327" t="s">
        <v>409</v>
      </c>
      <c r="D3" s="328">
        <f>'Bank Statement'!H103</f>
        <v>3076530.99</v>
      </c>
    </row>
    <row r="4" spans="1:6" ht="17.25">
      <c r="B4" s="327" t="s">
        <v>410</v>
      </c>
      <c r="D4" s="329">
        <f>'Cash Movement'!J223</f>
        <v>3055376.9998000027</v>
      </c>
    </row>
    <row r="5" spans="1:6" ht="17.25">
      <c r="B5" s="327" t="s">
        <v>411</v>
      </c>
      <c r="D5" s="328">
        <f>D4-D3</f>
        <v>-21153.990199997555</v>
      </c>
      <c r="E5" s="42"/>
    </row>
    <row r="7" spans="1:6" ht="15.75" thickBot="1"/>
    <row r="8" spans="1:6" ht="17.25">
      <c r="B8" s="330" t="s">
        <v>412</v>
      </c>
      <c r="C8" s="331" t="s">
        <v>413</v>
      </c>
      <c r="D8" s="332" t="s">
        <v>414</v>
      </c>
    </row>
    <row r="9" spans="1:6" ht="15" customHeight="1">
      <c r="B9" s="333"/>
      <c r="C9" s="334"/>
      <c r="D9" s="335">
        <f>D5</f>
        <v>-21153.990199997555</v>
      </c>
    </row>
    <row r="10" spans="1:6" ht="15.75" thickBot="1">
      <c r="B10" s="19" t="s">
        <v>560</v>
      </c>
      <c r="C10" s="336">
        <v>-21154</v>
      </c>
      <c r="D10" s="337">
        <f>D9-C10</f>
        <v>9.8000024445354939E-3</v>
      </c>
    </row>
    <row r="11" spans="1:6">
      <c r="C11" s="338"/>
      <c r="D11" s="339"/>
      <c r="F11" t="s">
        <v>70</v>
      </c>
    </row>
    <row r="12" spans="1:6" ht="15.75" thickBot="1"/>
    <row r="13" spans="1:6" ht="15.75" thickBot="1">
      <c r="B13" s="340" t="s">
        <v>562</v>
      </c>
      <c r="C13" s="396">
        <f>-D5</f>
        <v>21153.990199997555</v>
      </c>
      <c r="D13" s="397"/>
    </row>
    <row r="14" spans="1:6">
      <c r="D14" s="42"/>
    </row>
    <row r="16" spans="1:6">
      <c r="D16" s="42"/>
    </row>
  </sheetData>
  <mergeCells count="2">
    <mergeCell ref="A1:D1"/>
    <mergeCell ref="C13:D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1"/>
  <sheetViews>
    <sheetView topLeftCell="A95" zoomScale="80" zoomScaleNormal="80" workbookViewId="0">
      <selection activeCell="K108" sqref="K108"/>
    </sheetView>
  </sheetViews>
  <sheetFormatPr defaultRowHeight="15"/>
  <cols>
    <col min="1" max="1" width="2" customWidth="1"/>
    <col min="2" max="2" width="11.28515625" bestFit="1" customWidth="1"/>
    <col min="3" max="4" width="22.42578125" customWidth="1"/>
    <col min="5" max="5" width="20.5703125" customWidth="1"/>
    <col min="6" max="6" width="19.42578125" customWidth="1"/>
    <col min="7" max="7" width="19.85546875" customWidth="1"/>
    <col min="8" max="8" width="10.85546875" bestFit="1" customWidth="1"/>
    <col min="9" max="9" width="32.85546875" bestFit="1" customWidth="1"/>
    <col min="10" max="10" width="17.85546875" customWidth="1"/>
    <col min="11" max="11" width="13.140625" customWidth="1"/>
    <col min="12" max="12" width="13.140625" bestFit="1" customWidth="1"/>
    <col min="13" max="13" width="18.7109375" bestFit="1" customWidth="1"/>
  </cols>
  <sheetData>
    <row r="1" spans="2:11" ht="19.5" customHeight="1">
      <c r="B1" s="343" t="s">
        <v>297</v>
      </c>
      <c r="C1" s="343"/>
      <c r="D1" s="343"/>
      <c r="E1" s="343"/>
      <c r="F1" s="343"/>
      <c r="G1" s="343"/>
      <c r="H1" s="343"/>
      <c r="I1" s="343"/>
      <c r="J1" s="343"/>
    </row>
    <row r="2" spans="2:11" ht="22.5">
      <c r="B2" s="343" t="s">
        <v>415</v>
      </c>
      <c r="C2" s="343"/>
      <c r="D2" s="343"/>
      <c r="E2" s="343"/>
      <c r="F2" s="343"/>
      <c r="G2" s="343"/>
      <c r="H2" s="343"/>
      <c r="I2" s="343"/>
      <c r="J2" s="343"/>
      <c r="K2" s="157"/>
    </row>
    <row r="3" spans="2:11" ht="5.25" customHeight="1" thickBot="1"/>
    <row r="4" spans="2:11" ht="19.5">
      <c r="B4" s="356" t="s">
        <v>0</v>
      </c>
      <c r="C4" s="359" t="s">
        <v>10</v>
      </c>
      <c r="D4" s="365" t="s">
        <v>7</v>
      </c>
      <c r="E4" s="366"/>
      <c r="F4" s="367"/>
      <c r="G4" s="347" t="s">
        <v>12</v>
      </c>
      <c r="H4" s="348"/>
      <c r="I4" s="362" t="s">
        <v>2</v>
      </c>
      <c r="J4" s="341" t="s">
        <v>8</v>
      </c>
    </row>
    <row r="5" spans="2:11" ht="19.5" customHeight="1">
      <c r="B5" s="357"/>
      <c r="C5" s="360"/>
      <c r="D5" s="368" t="s">
        <v>205</v>
      </c>
      <c r="E5" s="349" t="s">
        <v>4</v>
      </c>
      <c r="F5" s="351" t="s">
        <v>3</v>
      </c>
      <c r="G5" s="351" t="s">
        <v>6</v>
      </c>
      <c r="H5" s="354" t="s">
        <v>5</v>
      </c>
      <c r="I5" s="363"/>
      <c r="J5" s="342"/>
    </row>
    <row r="6" spans="2:11" ht="20.25" customHeight="1" thickBot="1">
      <c r="B6" s="358"/>
      <c r="C6" s="361"/>
      <c r="D6" s="369"/>
      <c r="E6" s="350"/>
      <c r="F6" s="352"/>
      <c r="G6" s="353"/>
      <c r="H6" s="355"/>
      <c r="I6" s="364"/>
      <c r="J6" s="342"/>
    </row>
    <row r="7" spans="2:11" ht="15.75" thickBot="1">
      <c r="B7" s="344" t="s">
        <v>9</v>
      </c>
      <c r="C7" s="345"/>
      <c r="D7" s="345"/>
      <c r="E7" s="345"/>
      <c r="F7" s="345"/>
      <c r="G7" s="345"/>
      <c r="H7" s="345"/>
      <c r="I7" s="346"/>
      <c r="J7" s="1">
        <v>20000000</v>
      </c>
    </row>
    <row r="8" spans="2:11">
      <c r="B8" s="2" t="s">
        <v>53</v>
      </c>
      <c r="C8" s="121">
        <v>1000000.01</v>
      </c>
      <c r="D8" s="162"/>
      <c r="E8" s="160"/>
      <c r="F8" s="60">
        <v>1000000.01</v>
      </c>
      <c r="G8" s="3"/>
      <c r="H8" s="122"/>
      <c r="I8" s="4" t="s">
        <v>70</v>
      </c>
      <c r="J8" s="43">
        <f t="shared" ref="J8:J71" si="0">J7-E8-F8-G8-H8-D8</f>
        <v>18999999.989999998</v>
      </c>
    </row>
    <row r="9" spans="2:11">
      <c r="B9" s="55" t="s">
        <v>58</v>
      </c>
      <c r="C9" s="121">
        <v>357404.67</v>
      </c>
      <c r="D9" s="60"/>
      <c r="E9" s="160">
        <v>351944.45</v>
      </c>
      <c r="F9" s="3"/>
      <c r="G9" s="51">
        <f t="shared" ref="G9:G18" si="1">C9-E9</f>
        <v>5460.2199999999721</v>
      </c>
      <c r="H9" s="122"/>
      <c r="I9" s="4"/>
      <c r="J9" s="43">
        <f t="shared" si="0"/>
        <v>18642595.32</v>
      </c>
    </row>
    <row r="10" spans="2:11">
      <c r="B10" s="58" t="s">
        <v>57</v>
      </c>
      <c r="C10" s="123">
        <v>1412095.74</v>
      </c>
      <c r="D10" s="163"/>
      <c r="E10" s="161">
        <v>1390524.5</v>
      </c>
      <c r="F10" s="5"/>
      <c r="G10" s="51">
        <f t="shared" si="1"/>
        <v>21571.239999999991</v>
      </c>
      <c r="H10" s="124"/>
      <c r="I10" s="6"/>
      <c r="J10" s="43">
        <f t="shared" si="0"/>
        <v>17230499.580000002</v>
      </c>
    </row>
    <row r="11" spans="2:11">
      <c r="B11" s="58">
        <v>42583</v>
      </c>
      <c r="C11" s="123">
        <v>546000.65</v>
      </c>
      <c r="D11" s="163"/>
      <c r="E11" s="161">
        <v>539799.75</v>
      </c>
      <c r="F11" s="5"/>
      <c r="G11" s="51">
        <f t="shared" si="1"/>
        <v>6200.9000000000233</v>
      </c>
      <c r="H11" s="124"/>
      <c r="I11" s="6"/>
      <c r="J11" s="43">
        <f t="shared" si="0"/>
        <v>16684498.930000002</v>
      </c>
    </row>
    <row r="12" spans="2:11">
      <c r="B12" s="59">
        <v>42590</v>
      </c>
      <c r="C12" s="123">
        <v>508980.74</v>
      </c>
      <c r="D12" s="163"/>
      <c r="E12" s="161">
        <v>503200</v>
      </c>
      <c r="F12" s="5"/>
      <c r="G12" s="51">
        <f t="shared" si="1"/>
        <v>5780.7399999999907</v>
      </c>
      <c r="H12" s="124"/>
      <c r="I12" s="6"/>
      <c r="J12" s="43">
        <f t="shared" si="0"/>
        <v>16175518.190000001</v>
      </c>
    </row>
    <row r="13" spans="2:11">
      <c r="B13" s="59">
        <v>42592</v>
      </c>
      <c r="C13" s="123">
        <v>690846.32</v>
      </c>
      <c r="D13" s="163"/>
      <c r="E13" s="161">
        <v>683000</v>
      </c>
      <c r="F13" s="5"/>
      <c r="G13" s="51">
        <f t="shared" si="1"/>
        <v>7846.3199999999488</v>
      </c>
      <c r="H13" s="124"/>
      <c r="I13" s="6"/>
      <c r="J13" s="43">
        <f t="shared" si="0"/>
        <v>15484671.870000001</v>
      </c>
    </row>
    <row r="14" spans="2:11">
      <c r="B14" s="56" t="s">
        <v>11</v>
      </c>
      <c r="C14" s="125">
        <v>1009938.3739</v>
      </c>
      <c r="D14" s="51"/>
      <c r="E14" s="127">
        <v>1000082.95</v>
      </c>
      <c r="F14" s="7"/>
      <c r="G14" s="51">
        <f t="shared" si="1"/>
        <v>9855.4239000000525</v>
      </c>
      <c r="H14" s="126"/>
      <c r="I14" s="8"/>
      <c r="J14" s="43">
        <f t="shared" si="0"/>
        <v>14474733.496100001</v>
      </c>
    </row>
    <row r="15" spans="2:11">
      <c r="B15" s="57" t="s">
        <v>11</v>
      </c>
      <c r="C15" s="125">
        <v>931206.22</v>
      </c>
      <c r="D15" s="51"/>
      <c r="E15" s="127">
        <v>922295</v>
      </c>
      <c r="F15" s="7"/>
      <c r="G15" s="51">
        <f t="shared" si="1"/>
        <v>8911.2199999999721</v>
      </c>
      <c r="H15" s="126"/>
      <c r="I15" s="8"/>
      <c r="J15" s="43">
        <f t="shared" si="0"/>
        <v>13543527.2761</v>
      </c>
    </row>
    <row r="16" spans="2:11">
      <c r="B16" s="57" t="s">
        <v>25</v>
      </c>
      <c r="C16" s="125">
        <v>252606.51749999999</v>
      </c>
      <c r="D16" s="51"/>
      <c r="E16" s="127">
        <v>250163.6</v>
      </c>
      <c r="F16" s="7"/>
      <c r="G16" s="51">
        <f t="shared" si="1"/>
        <v>2442.9174999999814</v>
      </c>
      <c r="H16" s="126"/>
      <c r="I16" s="8"/>
      <c r="J16" s="43">
        <f t="shared" si="0"/>
        <v>13290920.7586</v>
      </c>
    </row>
    <row r="17" spans="2:11">
      <c r="B17" s="56" t="s">
        <v>26</v>
      </c>
      <c r="C17" s="125">
        <v>201659.4571</v>
      </c>
      <c r="D17" s="51"/>
      <c r="E17" s="127">
        <v>199680</v>
      </c>
      <c r="F17" s="7"/>
      <c r="G17" s="51">
        <f t="shared" si="1"/>
        <v>1979.4570999999996</v>
      </c>
      <c r="H17" s="126"/>
      <c r="I17" s="8"/>
      <c r="J17" s="43">
        <f t="shared" si="0"/>
        <v>13089261.3015</v>
      </c>
    </row>
    <row r="18" spans="2:11">
      <c r="B18" s="57" t="s">
        <v>26</v>
      </c>
      <c r="C18" s="125">
        <v>302061.69160000002</v>
      </c>
      <c r="D18" s="51"/>
      <c r="E18" s="127">
        <v>299171</v>
      </c>
      <c r="F18" s="7"/>
      <c r="G18" s="51">
        <f t="shared" si="1"/>
        <v>2890.6916000000201</v>
      </c>
      <c r="H18" s="126"/>
      <c r="I18" s="8"/>
      <c r="J18" s="43">
        <f t="shared" si="0"/>
        <v>12787199.6099</v>
      </c>
    </row>
    <row r="19" spans="2:11">
      <c r="B19" s="57" t="s">
        <v>31</v>
      </c>
      <c r="C19" s="125">
        <v>2500000</v>
      </c>
      <c r="D19" s="51"/>
      <c r="E19" s="127"/>
      <c r="F19" s="51">
        <v>2500000</v>
      </c>
      <c r="G19" s="51"/>
      <c r="H19" s="126"/>
      <c r="I19" s="8"/>
      <c r="J19" s="43">
        <f t="shared" si="0"/>
        <v>10287199.6099</v>
      </c>
    </row>
    <row r="20" spans="2:11">
      <c r="B20" s="59">
        <v>42646</v>
      </c>
      <c r="C20" s="125">
        <v>1009762</v>
      </c>
      <c r="D20" s="51"/>
      <c r="E20" s="127">
        <v>1000000</v>
      </c>
      <c r="F20" s="7"/>
      <c r="G20" s="51">
        <f t="shared" ref="G20:G90" si="2">C20-E20</f>
        <v>9762</v>
      </c>
      <c r="H20" s="126"/>
      <c r="I20" s="8"/>
      <c r="J20" s="43">
        <f t="shared" si="0"/>
        <v>9277437.6098999996</v>
      </c>
    </row>
    <row r="21" spans="2:11">
      <c r="B21" s="57" t="s">
        <v>50</v>
      </c>
      <c r="C21" s="125">
        <v>499386.53950000001</v>
      </c>
      <c r="D21" s="51"/>
      <c r="E21" s="127">
        <v>494607.25</v>
      </c>
      <c r="F21" s="7"/>
      <c r="G21" s="51">
        <f t="shared" si="2"/>
        <v>4779.2895000000135</v>
      </c>
      <c r="H21" s="126"/>
      <c r="I21" s="8"/>
      <c r="J21" s="43">
        <f t="shared" si="0"/>
        <v>8778051.0703999996</v>
      </c>
    </row>
    <row r="22" spans="2:11">
      <c r="B22" s="57" t="s">
        <v>50</v>
      </c>
      <c r="C22" s="125">
        <v>-1022278.8461</v>
      </c>
      <c r="D22" s="51"/>
      <c r="E22" s="127">
        <v>-1052713.45</v>
      </c>
      <c r="F22" s="7"/>
      <c r="G22" s="51">
        <f t="shared" si="2"/>
        <v>30434.603899999987</v>
      </c>
      <c r="H22" s="126"/>
      <c r="I22" s="8" t="s">
        <v>113</v>
      </c>
      <c r="J22" s="43">
        <f t="shared" si="0"/>
        <v>9800329.9164999984</v>
      </c>
      <c r="K22" s="144"/>
    </row>
    <row r="23" spans="2:11">
      <c r="B23" s="57" t="s">
        <v>68</v>
      </c>
      <c r="C23" s="125">
        <v>504878.4277</v>
      </c>
      <c r="D23" s="51"/>
      <c r="E23" s="127">
        <v>499997.45</v>
      </c>
      <c r="F23" s="7"/>
      <c r="G23" s="51">
        <f t="shared" si="2"/>
        <v>4880.9776999999885</v>
      </c>
      <c r="H23" s="126"/>
      <c r="I23" s="8"/>
      <c r="J23" s="43">
        <f t="shared" si="0"/>
        <v>9295451.4887999985</v>
      </c>
    </row>
    <row r="24" spans="2:11">
      <c r="B24" s="57" t="s">
        <v>69</v>
      </c>
      <c r="C24" s="125">
        <v>1004046.97</v>
      </c>
      <c r="D24" s="51"/>
      <c r="E24" s="127">
        <v>994340</v>
      </c>
      <c r="F24" s="7"/>
      <c r="G24" s="51">
        <f t="shared" si="2"/>
        <v>9706.9699999999721</v>
      </c>
      <c r="H24" s="126"/>
      <c r="I24" s="8"/>
      <c r="J24" s="43">
        <f t="shared" si="0"/>
        <v>8291404.5187999988</v>
      </c>
    </row>
    <row r="25" spans="2:11">
      <c r="B25" s="57" t="s">
        <v>65</v>
      </c>
      <c r="C25" s="125">
        <v>1009222.375</v>
      </c>
      <c r="D25" s="51"/>
      <c r="E25" s="127">
        <v>999466</v>
      </c>
      <c r="F25" s="7"/>
      <c r="G25" s="51">
        <f t="shared" si="2"/>
        <v>9756.375</v>
      </c>
      <c r="H25" s="126"/>
      <c r="I25" s="8"/>
      <c r="J25" s="43">
        <f t="shared" si="0"/>
        <v>7282182.1437999988</v>
      </c>
    </row>
    <row r="26" spans="2:11">
      <c r="B26" s="57" t="s">
        <v>67</v>
      </c>
      <c r="C26" s="125">
        <v>-342882.91</v>
      </c>
      <c r="D26" s="51"/>
      <c r="E26" s="127">
        <v>-355314.65</v>
      </c>
      <c r="F26" s="7"/>
      <c r="G26" s="51">
        <f t="shared" si="2"/>
        <v>12431.740000000049</v>
      </c>
      <c r="H26" s="126"/>
      <c r="I26" s="8" t="s">
        <v>113</v>
      </c>
      <c r="J26" s="43">
        <f t="shared" si="0"/>
        <v>7625065.0537999989</v>
      </c>
      <c r="K26" s="144"/>
    </row>
    <row r="27" spans="2:11">
      <c r="B27" s="57" t="s">
        <v>76</v>
      </c>
      <c r="C27" s="125">
        <v>1004756.5614</v>
      </c>
      <c r="D27" s="51"/>
      <c r="E27" s="127">
        <v>997983.25</v>
      </c>
      <c r="F27" s="7"/>
      <c r="G27" s="51">
        <f t="shared" si="2"/>
        <v>6773.311400000006</v>
      </c>
      <c r="H27" s="126"/>
      <c r="I27" s="8"/>
      <c r="J27" s="43">
        <f t="shared" si="0"/>
        <v>6620308.4923999989</v>
      </c>
    </row>
    <row r="28" spans="2:11">
      <c r="B28" s="57" t="s">
        <v>76</v>
      </c>
      <c r="C28" s="125">
        <v>1006775.7010999999</v>
      </c>
      <c r="D28" s="51"/>
      <c r="E28" s="127">
        <v>999789.9</v>
      </c>
      <c r="F28" s="7"/>
      <c r="G28" s="51">
        <f t="shared" si="2"/>
        <v>6985.8010999999242</v>
      </c>
      <c r="H28" s="126"/>
      <c r="I28" s="8"/>
      <c r="J28" s="43">
        <f t="shared" si="0"/>
        <v>5613532.7912999988</v>
      </c>
    </row>
    <row r="29" spans="2:11">
      <c r="B29" s="57" t="s">
        <v>77</v>
      </c>
      <c r="C29" s="125">
        <v>-744390.38580000005</v>
      </c>
      <c r="D29" s="51"/>
      <c r="E29" s="127">
        <v>-749553.05</v>
      </c>
      <c r="F29" s="7"/>
      <c r="G29" s="51">
        <f t="shared" si="2"/>
        <v>5162.6641999999993</v>
      </c>
      <c r="H29" s="126"/>
      <c r="I29" s="8" t="s">
        <v>56</v>
      </c>
      <c r="J29" s="43">
        <f t="shared" si="0"/>
        <v>6357923.177099999</v>
      </c>
    </row>
    <row r="30" spans="2:11">
      <c r="B30" s="57" t="s">
        <v>78</v>
      </c>
      <c r="C30" s="125">
        <v>504191.7942</v>
      </c>
      <c r="D30" s="51"/>
      <c r="E30" s="127">
        <v>500742</v>
      </c>
      <c r="F30" s="7"/>
      <c r="G30" s="51">
        <f t="shared" si="2"/>
        <v>3449.7942000000039</v>
      </c>
      <c r="H30" s="126"/>
      <c r="I30" s="8"/>
      <c r="J30" s="43">
        <f t="shared" si="0"/>
        <v>5853731.3828999987</v>
      </c>
    </row>
    <row r="31" spans="2:11">
      <c r="B31" s="56" t="s">
        <v>86</v>
      </c>
      <c r="C31" s="125">
        <v>1015113.683</v>
      </c>
      <c r="D31" s="51"/>
      <c r="E31" s="127">
        <v>1008170.4</v>
      </c>
      <c r="F31" s="7"/>
      <c r="G31" s="51">
        <f t="shared" si="2"/>
        <v>6943.2829999999376</v>
      </c>
      <c r="H31" s="126"/>
      <c r="I31" s="8"/>
      <c r="J31" s="43">
        <f t="shared" si="0"/>
        <v>4838617.6998999985</v>
      </c>
    </row>
    <row r="32" spans="2:11">
      <c r="B32" s="56" t="s">
        <v>87</v>
      </c>
      <c r="C32" s="125">
        <v>503268.11</v>
      </c>
      <c r="D32" s="51"/>
      <c r="E32" s="127">
        <v>499875.45</v>
      </c>
      <c r="F32" s="7"/>
      <c r="G32" s="51">
        <f t="shared" si="2"/>
        <v>3392.6599999999744</v>
      </c>
      <c r="H32" s="126"/>
      <c r="I32" s="8" t="s">
        <v>109</v>
      </c>
      <c r="J32" s="43">
        <f t="shared" si="0"/>
        <v>4335349.5898999982</v>
      </c>
    </row>
    <row r="33" spans="2:11">
      <c r="B33" s="56" t="s">
        <v>87</v>
      </c>
      <c r="C33" s="125">
        <v>234557.89060000001</v>
      </c>
      <c r="D33" s="51"/>
      <c r="E33" s="127">
        <v>232854.25</v>
      </c>
      <c r="F33" s="7"/>
      <c r="G33" s="51">
        <f t="shared" si="2"/>
        <v>1703.6406000000134</v>
      </c>
      <c r="H33" s="126"/>
      <c r="I33" s="8" t="s">
        <v>88</v>
      </c>
      <c r="J33" s="43">
        <f t="shared" si="0"/>
        <v>4100791.6992999981</v>
      </c>
    </row>
    <row r="34" spans="2:11">
      <c r="B34" s="56" t="s">
        <v>87</v>
      </c>
      <c r="C34" s="125">
        <v>497364.4</v>
      </c>
      <c r="D34" s="51"/>
      <c r="E34" s="127">
        <v>494011.55</v>
      </c>
      <c r="F34" s="7"/>
      <c r="G34" s="51">
        <f t="shared" si="2"/>
        <v>3352.8500000000349</v>
      </c>
      <c r="H34" s="126"/>
      <c r="I34" s="8" t="s">
        <v>89</v>
      </c>
      <c r="J34" s="43">
        <f t="shared" si="0"/>
        <v>3603427.2992999982</v>
      </c>
    </row>
    <row r="35" spans="2:11">
      <c r="B35" s="56" t="s">
        <v>91</v>
      </c>
      <c r="C35" s="125">
        <v>997594.48640000005</v>
      </c>
      <c r="D35" s="51"/>
      <c r="E35" s="127">
        <v>990769.9</v>
      </c>
      <c r="F35" s="7"/>
      <c r="G35" s="51">
        <f t="shared" si="2"/>
        <v>6824.5864000000292</v>
      </c>
      <c r="H35" s="126"/>
      <c r="I35" s="8"/>
      <c r="J35" s="43">
        <f t="shared" si="0"/>
        <v>2605832.8128999984</v>
      </c>
    </row>
    <row r="36" spans="2:11">
      <c r="B36" s="56" t="s">
        <v>92</v>
      </c>
      <c r="C36" s="125">
        <v>495328.86</v>
      </c>
      <c r="D36" s="51"/>
      <c r="E36" s="127">
        <v>491940</v>
      </c>
      <c r="F36" s="7"/>
      <c r="G36" s="51">
        <f t="shared" si="2"/>
        <v>3388.859999999986</v>
      </c>
      <c r="H36" s="126"/>
      <c r="I36" s="8"/>
      <c r="J36" s="43">
        <f t="shared" si="0"/>
        <v>2110503.9528999985</v>
      </c>
    </row>
    <row r="37" spans="2:11">
      <c r="B37" s="56" t="s">
        <v>110</v>
      </c>
      <c r="C37" s="125">
        <v>-28171.05</v>
      </c>
      <c r="D37" s="51"/>
      <c r="E37" s="127">
        <v>-28171.05</v>
      </c>
      <c r="F37" s="7"/>
      <c r="G37" s="51"/>
      <c r="H37" s="126"/>
      <c r="I37" s="8" t="s">
        <v>125</v>
      </c>
      <c r="J37" s="43">
        <f t="shared" si="0"/>
        <v>2138675.0028999983</v>
      </c>
    </row>
    <row r="38" spans="2:11">
      <c r="B38" s="56">
        <v>42737</v>
      </c>
      <c r="C38" s="125">
        <v>-1075523.0504000001</v>
      </c>
      <c r="D38" s="51"/>
      <c r="E38" s="127">
        <v>-1086131.3</v>
      </c>
      <c r="F38" s="7"/>
      <c r="G38" s="51">
        <f t="shared" si="2"/>
        <v>10608.249599999981</v>
      </c>
      <c r="H38" s="126"/>
      <c r="I38" s="8" t="s">
        <v>56</v>
      </c>
      <c r="J38" s="43">
        <f t="shared" si="0"/>
        <v>3214198.0532999989</v>
      </c>
      <c r="K38" s="144"/>
    </row>
    <row r="39" spans="2:11">
      <c r="B39" s="56">
        <v>42739</v>
      </c>
      <c r="C39" s="125">
        <v>1007675.852</v>
      </c>
      <c r="D39" s="51"/>
      <c r="E39" s="127">
        <v>997933.75</v>
      </c>
      <c r="F39" s="7"/>
      <c r="G39" s="51">
        <f t="shared" si="2"/>
        <v>9742.1019999999553</v>
      </c>
      <c r="H39" s="126"/>
      <c r="I39" s="8"/>
      <c r="J39" s="43">
        <f t="shared" si="0"/>
        <v>2206522.2012999989</v>
      </c>
    </row>
    <row r="40" spans="2:11">
      <c r="B40" s="56">
        <v>42741</v>
      </c>
      <c r="C40" s="125">
        <v>-229918.73120000001</v>
      </c>
      <c r="D40" s="51"/>
      <c r="E40" s="127">
        <v>-232191.15</v>
      </c>
      <c r="F40" s="7"/>
      <c r="G40" s="51">
        <f t="shared" si="2"/>
        <v>2272.4187999999849</v>
      </c>
      <c r="H40" s="126"/>
      <c r="I40" s="8" t="s">
        <v>56</v>
      </c>
      <c r="J40" s="43">
        <f t="shared" si="0"/>
        <v>2436440.9324999987</v>
      </c>
      <c r="K40" s="144"/>
    </row>
    <row r="41" spans="2:11">
      <c r="B41" s="56">
        <v>42745</v>
      </c>
      <c r="C41" s="125">
        <v>1012767.1737</v>
      </c>
      <c r="D41" s="51"/>
      <c r="E41" s="127">
        <v>1002975.4</v>
      </c>
      <c r="F41" s="7"/>
      <c r="G41" s="51">
        <f t="shared" si="2"/>
        <v>9791.7737000000197</v>
      </c>
      <c r="H41" s="126"/>
      <c r="I41" s="8"/>
      <c r="J41" s="43">
        <f t="shared" si="0"/>
        <v>1423673.7587999988</v>
      </c>
    </row>
    <row r="42" spans="2:11">
      <c r="B42" s="56">
        <v>42745</v>
      </c>
      <c r="C42" s="125">
        <v>17250</v>
      </c>
      <c r="D42" s="51"/>
      <c r="E42" s="127"/>
      <c r="F42" s="7"/>
      <c r="G42" s="51"/>
      <c r="H42" s="126">
        <v>17250</v>
      </c>
      <c r="I42" s="8" t="s">
        <v>117</v>
      </c>
      <c r="J42" s="43">
        <f t="shared" si="0"/>
        <v>1406423.7587999988</v>
      </c>
    </row>
    <row r="43" spans="2:11">
      <c r="B43" s="56">
        <v>42747</v>
      </c>
      <c r="C43" s="125">
        <v>-206535.1752</v>
      </c>
      <c r="D43" s="51"/>
      <c r="E43" s="127">
        <v>-208577.05</v>
      </c>
      <c r="F43" s="7"/>
      <c r="G43" s="51">
        <f t="shared" si="2"/>
        <v>2041.8747999999905</v>
      </c>
      <c r="H43" s="126"/>
      <c r="I43" s="8" t="s">
        <v>56</v>
      </c>
      <c r="J43" s="43">
        <f t="shared" si="0"/>
        <v>1612958.933999999</v>
      </c>
      <c r="K43" s="144"/>
    </row>
    <row r="44" spans="2:11">
      <c r="B44" s="56">
        <v>42767</v>
      </c>
      <c r="C44" s="125">
        <v>-2710.5</v>
      </c>
      <c r="D44" s="51"/>
      <c r="E44" s="127">
        <v>-2710.5</v>
      </c>
      <c r="F44" s="7"/>
      <c r="G44" s="51"/>
      <c r="H44" s="126"/>
      <c r="I44" s="8" t="s">
        <v>125</v>
      </c>
      <c r="J44" s="43">
        <f t="shared" si="0"/>
        <v>1615669.433999999</v>
      </c>
    </row>
    <row r="45" spans="2:11">
      <c r="B45" s="56">
        <v>42773</v>
      </c>
      <c r="C45" s="125">
        <v>-1085333.9317000001</v>
      </c>
      <c r="D45" s="51"/>
      <c r="E45" s="127">
        <v>-1096039</v>
      </c>
      <c r="F45" s="7"/>
      <c r="G45" s="51">
        <f t="shared" si="2"/>
        <v>10705.068299999926</v>
      </c>
      <c r="H45" s="126"/>
      <c r="I45" s="8" t="s">
        <v>56</v>
      </c>
      <c r="J45" s="43">
        <f t="shared" si="0"/>
        <v>2701003.365699999</v>
      </c>
    </row>
    <row r="46" spans="2:11">
      <c r="B46" s="56">
        <v>42776</v>
      </c>
      <c r="C46" s="125">
        <v>-4424</v>
      </c>
      <c r="D46" s="51"/>
      <c r="E46" s="127">
        <v>-4424</v>
      </c>
      <c r="F46" s="7"/>
      <c r="G46" s="51"/>
      <c r="H46" s="126"/>
      <c r="I46" s="8" t="s">
        <v>125</v>
      </c>
      <c r="J46" s="43">
        <f t="shared" si="0"/>
        <v>2705427.365699999</v>
      </c>
    </row>
    <row r="47" spans="2:11">
      <c r="B47" s="56">
        <v>42779</v>
      </c>
      <c r="C47" s="125">
        <v>-26732</v>
      </c>
      <c r="D47" s="51"/>
      <c r="E47" s="127">
        <v>-26732</v>
      </c>
      <c r="F47" s="7"/>
      <c r="G47" s="51"/>
      <c r="H47" s="126"/>
      <c r="I47" s="8" t="s">
        <v>125</v>
      </c>
      <c r="J47" s="43">
        <f t="shared" si="0"/>
        <v>2732159.365699999</v>
      </c>
    </row>
    <row r="48" spans="2:11">
      <c r="B48" s="56">
        <v>42780</v>
      </c>
      <c r="C48" s="125">
        <v>1014583.3029</v>
      </c>
      <c r="D48" s="51"/>
      <c r="E48" s="127">
        <v>1004773.95</v>
      </c>
      <c r="F48" s="7"/>
      <c r="G48" s="51">
        <f t="shared" si="2"/>
        <v>9809.3529000000563</v>
      </c>
      <c r="H48" s="126"/>
      <c r="I48" s="8"/>
      <c r="J48" s="43">
        <f t="shared" si="0"/>
        <v>1717576.062799999</v>
      </c>
    </row>
    <row r="49" spans="2:11">
      <c r="B49" s="56">
        <v>42781</v>
      </c>
      <c r="C49" s="125">
        <v>-1164604.2718</v>
      </c>
      <c r="D49" s="51"/>
      <c r="E49" s="127">
        <v>-1176090.75</v>
      </c>
      <c r="F49" s="7"/>
      <c r="G49" s="51">
        <f t="shared" si="2"/>
        <v>11486.478200000012</v>
      </c>
      <c r="H49" s="126"/>
      <c r="I49" s="8" t="s">
        <v>56</v>
      </c>
      <c r="J49" s="43">
        <f t="shared" si="0"/>
        <v>2882180.3345999988</v>
      </c>
    </row>
    <row r="50" spans="2:11">
      <c r="B50" s="56" t="s">
        <v>128</v>
      </c>
      <c r="C50" s="125">
        <v>-1155559.79</v>
      </c>
      <c r="D50" s="51"/>
      <c r="E50" s="127">
        <v>-1197781.1499999999</v>
      </c>
      <c r="F50" s="7"/>
      <c r="G50" s="51">
        <f t="shared" si="2"/>
        <v>42221.35999999987</v>
      </c>
      <c r="H50" s="126"/>
      <c r="I50" s="8" t="s">
        <v>113</v>
      </c>
      <c r="J50" s="43">
        <f t="shared" si="0"/>
        <v>4037740.1245999988</v>
      </c>
      <c r="K50" s="144"/>
    </row>
    <row r="51" spans="2:11">
      <c r="B51" s="56" t="s">
        <v>128</v>
      </c>
      <c r="C51" s="125">
        <v>-7180</v>
      </c>
      <c r="D51" s="51"/>
      <c r="E51" s="127">
        <v>-7180</v>
      </c>
      <c r="F51" s="7"/>
      <c r="G51" s="51"/>
      <c r="H51" s="126"/>
      <c r="I51" s="8" t="s">
        <v>125</v>
      </c>
      <c r="J51" s="43">
        <f t="shared" si="0"/>
        <v>4044920.1245999988</v>
      </c>
    </row>
    <row r="52" spans="2:11">
      <c r="B52" s="56" t="s">
        <v>131</v>
      </c>
      <c r="C52" s="125">
        <v>-1064597.02</v>
      </c>
      <c r="D52" s="51"/>
      <c r="E52" s="127">
        <v>-1088172.95</v>
      </c>
      <c r="F52" s="7"/>
      <c r="G52" s="51">
        <f t="shared" si="2"/>
        <v>23575.929999999935</v>
      </c>
      <c r="H52" s="126"/>
      <c r="I52" s="8" t="s">
        <v>113</v>
      </c>
      <c r="J52" s="43">
        <f t="shared" si="0"/>
        <v>5109517.1445999993</v>
      </c>
      <c r="K52" s="144"/>
    </row>
    <row r="53" spans="2:11">
      <c r="B53" s="56" t="s">
        <v>131</v>
      </c>
      <c r="C53" s="125">
        <v>-12388.6</v>
      </c>
      <c r="D53" s="51"/>
      <c r="E53" s="127">
        <v>-12388.6</v>
      </c>
      <c r="F53" s="7"/>
      <c r="G53" s="51"/>
      <c r="H53" s="126"/>
      <c r="I53" s="8" t="s">
        <v>125</v>
      </c>
      <c r="J53" s="43">
        <f t="shared" si="0"/>
        <v>5121905.7445999989</v>
      </c>
    </row>
    <row r="54" spans="2:11">
      <c r="B54" s="56" t="s">
        <v>132</v>
      </c>
      <c r="C54" s="125">
        <v>1009055.8941</v>
      </c>
      <c r="D54" s="51"/>
      <c r="E54" s="127">
        <v>999300.95</v>
      </c>
      <c r="F54" s="7"/>
      <c r="G54" s="51">
        <f t="shared" si="2"/>
        <v>9754.9441000000807</v>
      </c>
      <c r="H54" s="126"/>
      <c r="I54" s="8"/>
      <c r="J54" s="43">
        <f t="shared" si="0"/>
        <v>4112849.8504999988</v>
      </c>
    </row>
    <row r="55" spans="2:11">
      <c r="B55" s="56" t="s">
        <v>139</v>
      </c>
      <c r="C55" s="125">
        <v>1009336.1427</v>
      </c>
      <c r="D55" s="51"/>
      <c r="E55" s="127">
        <v>999577.8</v>
      </c>
      <c r="F55" s="7"/>
      <c r="G55" s="51">
        <f t="shared" si="2"/>
        <v>9758.342699999921</v>
      </c>
      <c r="H55" s="126"/>
      <c r="I55" s="8"/>
      <c r="J55" s="43">
        <f t="shared" si="0"/>
        <v>3103513.707799999</v>
      </c>
    </row>
    <row r="56" spans="2:11">
      <c r="B56" s="56" t="s">
        <v>141</v>
      </c>
      <c r="C56" s="125">
        <v>1008898.4323</v>
      </c>
      <c r="D56" s="51"/>
      <c r="E56" s="127">
        <v>999039.75</v>
      </c>
      <c r="F56" s="7"/>
      <c r="G56" s="51">
        <f t="shared" si="2"/>
        <v>9858.6822999999858</v>
      </c>
      <c r="H56" s="126"/>
      <c r="I56" s="8"/>
      <c r="J56" s="43">
        <f t="shared" si="0"/>
        <v>2094615.2754999991</v>
      </c>
    </row>
    <row r="57" spans="2:11">
      <c r="B57" s="56" t="s">
        <v>141</v>
      </c>
      <c r="C57" s="125">
        <v>-1036628.1799999999</v>
      </c>
      <c r="D57" s="51"/>
      <c r="E57" s="127">
        <v>-1051891.8500000001</v>
      </c>
      <c r="F57" s="7"/>
      <c r="G57" s="51">
        <f t="shared" si="2"/>
        <v>15263.670000000158</v>
      </c>
      <c r="H57" s="126"/>
      <c r="I57" s="8" t="s">
        <v>113</v>
      </c>
      <c r="J57" s="43">
        <f t="shared" si="0"/>
        <v>3131243.4554999992</v>
      </c>
      <c r="K57" s="144"/>
    </row>
    <row r="58" spans="2:11">
      <c r="B58" s="56">
        <v>42835</v>
      </c>
      <c r="C58" s="125">
        <v>-1301573.05</v>
      </c>
      <c r="D58" s="51"/>
      <c r="E58" s="127">
        <v>-1375068.75</v>
      </c>
      <c r="F58" s="7"/>
      <c r="G58" s="51">
        <f t="shared" si="2"/>
        <v>73495.699999999953</v>
      </c>
      <c r="H58" s="126"/>
      <c r="I58" s="8" t="s">
        <v>113</v>
      </c>
      <c r="J58" s="43">
        <f t="shared" si="0"/>
        <v>4432816.505499999</v>
      </c>
      <c r="K58" s="144"/>
    </row>
    <row r="59" spans="2:11">
      <c r="B59" s="56">
        <v>42838</v>
      </c>
      <c r="C59" s="125">
        <v>1006409.2512000001</v>
      </c>
      <c r="D59" s="51"/>
      <c r="E59" s="127">
        <v>999525</v>
      </c>
      <c r="F59" s="7"/>
      <c r="G59" s="51">
        <f t="shared" si="2"/>
        <v>6884.251200000057</v>
      </c>
      <c r="H59" s="126"/>
      <c r="I59" s="8"/>
      <c r="J59" s="43">
        <f t="shared" si="0"/>
        <v>3426407.2542999992</v>
      </c>
    </row>
    <row r="60" spans="2:11">
      <c r="B60" s="56">
        <v>42843</v>
      </c>
      <c r="C60" s="125">
        <v>1006885.995</v>
      </c>
      <c r="D60" s="51"/>
      <c r="E60" s="127">
        <v>999999</v>
      </c>
      <c r="F60" s="7"/>
      <c r="G60" s="51">
        <f t="shared" si="2"/>
        <v>6886.9949999999953</v>
      </c>
      <c r="H60" s="126"/>
      <c r="I60" s="8"/>
      <c r="J60" s="43">
        <f t="shared" si="0"/>
        <v>2419521.2592999991</v>
      </c>
    </row>
    <row r="61" spans="2:11">
      <c r="B61" s="56">
        <v>42845</v>
      </c>
      <c r="C61" s="125">
        <v>1007295.8471</v>
      </c>
      <c r="D61" s="51"/>
      <c r="E61" s="127">
        <v>1000405.5</v>
      </c>
      <c r="F61" s="7"/>
      <c r="G61" s="51">
        <f t="shared" si="2"/>
        <v>6890.3471000000136</v>
      </c>
      <c r="H61" s="126"/>
      <c r="I61" s="8"/>
      <c r="J61" s="43">
        <f t="shared" si="0"/>
        <v>1412225.4121999992</v>
      </c>
    </row>
    <row r="62" spans="2:11">
      <c r="B62" s="56">
        <v>42852</v>
      </c>
      <c r="C62" s="125">
        <v>1006857.8347</v>
      </c>
      <c r="D62" s="51"/>
      <c r="E62" s="127">
        <v>999971.5</v>
      </c>
      <c r="F62" s="7"/>
      <c r="G62" s="51">
        <f t="shared" si="2"/>
        <v>6886.3347000000067</v>
      </c>
      <c r="H62" s="126"/>
      <c r="I62" s="8"/>
      <c r="J62" s="43">
        <f t="shared" si="0"/>
        <v>405367.5774999992</v>
      </c>
    </row>
    <row r="63" spans="2:11">
      <c r="B63" s="56">
        <v>42853</v>
      </c>
      <c r="C63" s="125">
        <v>-1078896.0596</v>
      </c>
      <c r="D63" s="51"/>
      <c r="E63" s="127">
        <v>-1102611.5</v>
      </c>
      <c r="F63" s="7"/>
      <c r="G63" s="51">
        <f t="shared" si="2"/>
        <v>23715.440399999963</v>
      </c>
      <c r="H63" s="126"/>
      <c r="I63" s="8" t="s">
        <v>113</v>
      </c>
      <c r="J63" s="43">
        <f t="shared" si="0"/>
        <v>1484263.6370999992</v>
      </c>
      <c r="K63" s="144"/>
    </row>
    <row r="64" spans="2:11">
      <c r="B64" s="56">
        <v>42864</v>
      </c>
      <c r="C64" s="125">
        <v>997318.96889999998</v>
      </c>
      <c r="D64" s="51"/>
      <c r="E64" s="127">
        <v>990500.4</v>
      </c>
      <c r="F64" s="7"/>
      <c r="G64" s="51">
        <f t="shared" si="2"/>
        <v>6818.5688999999547</v>
      </c>
      <c r="H64" s="126"/>
      <c r="I64" s="8"/>
      <c r="J64" s="43">
        <f t="shared" si="0"/>
        <v>486944.66819999926</v>
      </c>
    </row>
    <row r="65" spans="2:11">
      <c r="B65" s="56">
        <v>42864</v>
      </c>
      <c r="C65" s="125">
        <v>-1241892.3600000001</v>
      </c>
      <c r="D65" s="51"/>
      <c r="E65" s="127">
        <v>-1301711.8999999999</v>
      </c>
      <c r="F65" s="7"/>
      <c r="G65" s="51">
        <f t="shared" si="2"/>
        <v>59819.539999999804</v>
      </c>
      <c r="H65" s="126"/>
      <c r="I65" s="8" t="s">
        <v>113</v>
      </c>
      <c r="J65" s="43">
        <f t="shared" si="0"/>
        <v>1728837.0281999994</v>
      </c>
      <c r="K65" s="144"/>
    </row>
    <row r="66" spans="2:11">
      <c r="B66" s="56">
        <v>42871</v>
      </c>
      <c r="C66" s="125">
        <v>-1046387.6699999999</v>
      </c>
      <c r="D66" s="51"/>
      <c r="E66" s="127">
        <v>-1061012.3999999999</v>
      </c>
      <c r="F66" s="7"/>
      <c r="G66" s="51">
        <f t="shared" si="2"/>
        <v>14624.729999999981</v>
      </c>
      <c r="H66" s="126"/>
      <c r="I66" s="8" t="s">
        <v>113</v>
      </c>
      <c r="J66" s="43">
        <f t="shared" si="0"/>
        <v>2775224.6981999991</v>
      </c>
      <c r="K66" s="144"/>
    </row>
    <row r="67" spans="2:11">
      <c r="B67" s="56">
        <v>42878</v>
      </c>
      <c r="C67" s="125">
        <v>1006471.309</v>
      </c>
      <c r="D67" s="51"/>
      <c r="E67" s="127">
        <v>999587.2</v>
      </c>
      <c r="F67" s="7"/>
      <c r="G67" s="51">
        <f t="shared" si="2"/>
        <v>6884.1090000000549</v>
      </c>
      <c r="H67" s="126"/>
      <c r="I67" s="8"/>
      <c r="J67" s="43">
        <f t="shared" si="0"/>
        <v>1768753.3891999992</v>
      </c>
    </row>
    <row r="68" spans="2:11">
      <c r="B68" s="56">
        <v>42888</v>
      </c>
      <c r="C68" s="125">
        <v>-4218</v>
      </c>
      <c r="D68" s="51"/>
      <c r="E68" s="127">
        <v>-4218</v>
      </c>
      <c r="F68" s="7"/>
      <c r="G68" s="51"/>
      <c r="H68" s="126"/>
      <c r="I68" s="8" t="s">
        <v>125</v>
      </c>
      <c r="J68" s="43">
        <f t="shared" si="0"/>
        <v>1772971.3891999992</v>
      </c>
    </row>
    <row r="69" spans="2:11">
      <c r="B69" s="56">
        <v>42899</v>
      </c>
      <c r="C69" s="125">
        <v>1009579.9424000001</v>
      </c>
      <c r="D69" s="51"/>
      <c r="E69" s="127">
        <v>999820</v>
      </c>
      <c r="F69" s="7"/>
      <c r="G69" s="51">
        <f t="shared" si="2"/>
        <v>9759.9424000000581</v>
      </c>
      <c r="H69" s="126"/>
      <c r="I69" s="8"/>
      <c r="J69" s="43">
        <f t="shared" si="0"/>
        <v>763391.4467999991</v>
      </c>
    </row>
    <row r="70" spans="2:11">
      <c r="B70" s="57" t="s">
        <v>163</v>
      </c>
      <c r="C70" s="128">
        <v>-948709.52209999994</v>
      </c>
      <c r="D70" s="51"/>
      <c r="E70" s="127">
        <v>-958067</v>
      </c>
      <c r="F70" s="7"/>
      <c r="G70" s="51">
        <f t="shared" si="2"/>
        <v>9357.4779000000563</v>
      </c>
      <c r="H70" s="126"/>
      <c r="I70" s="8"/>
      <c r="J70" s="43">
        <f t="shared" si="0"/>
        <v>1712100.968899999</v>
      </c>
    </row>
    <row r="71" spans="2:11">
      <c r="B71" s="57" t="s">
        <v>165</v>
      </c>
      <c r="C71" s="128">
        <v>-1124231.72</v>
      </c>
      <c r="D71" s="51"/>
      <c r="E71" s="127">
        <v>-1148565.2</v>
      </c>
      <c r="F71" s="7"/>
      <c r="G71" s="51">
        <f t="shared" si="2"/>
        <v>24333.479999999981</v>
      </c>
      <c r="H71" s="126"/>
      <c r="I71" s="8" t="s">
        <v>56</v>
      </c>
      <c r="J71" s="43">
        <f t="shared" si="0"/>
        <v>2836332.688899999</v>
      </c>
      <c r="K71" s="144"/>
    </row>
    <row r="72" spans="2:11">
      <c r="B72" s="57" t="s">
        <v>166</v>
      </c>
      <c r="C72" s="128">
        <v>1000738.1422999999</v>
      </c>
      <c r="D72" s="51"/>
      <c r="E72" s="127">
        <v>991063.05</v>
      </c>
      <c r="F72" s="7"/>
      <c r="G72" s="51">
        <f t="shared" si="2"/>
        <v>9675.092299999902</v>
      </c>
      <c r="H72" s="126"/>
      <c r="I72" s="8"/>
      <c r="J72" s="43">
        <f t="shared" ref="J72:J109" si="3">J71-E72-F72-G72-H72-D72</f>
        <v>1835594.5465999991</v>
      </c>
    </row>
    <row r="73" spans="2:11">
      <c r="B73" s="57" t="s">
        <v>167</v>
      </c>
      <c r="C73" s="128">
        <v>-1092993.82</v>
      </c>
      <c r="D73" s="51"/>
      <c r="E73" s="127">
        <v>-1123027.1000000001</v>
      </c>
      <c r="F73" s="7"/>
      <c r="G73" s="51">
        <f t="shared" si="2"/>
        <v>30033.280000000028</v>
      </c>
      <c r="H73" s="126"/>
      <c r="I73" s="8" t="s">
        <v>113</v>
      </c>
      <c r="J73" s="43">
        <f t="shared" si="3"/>
        <v>2928588.3665999994</v>
      </c>
      <c r="K73" s="144"/>
    </row>
    <row r="74" spans="2:11">
      <c r="B74" s="57" t="s">
        <v>168</v>
      </c>
      <c r="C74" s="128">
        <v>-11467.5</v>
      </c>
      <c r="D74" s="51"/>
      <c r="E74" s="127">
        <v>-11467.5</v>
      </c>
      <c r="F74" s="7"/>
      <c r="G74" s="51"/>
      <c r="H74" s="126"/>
      <c r="I74" s="8" t="s">
        <v>125</v>
      </c>
      <c r="J74" s="43">
        <f t="shared" si="3"/>
        <v>2940055.8665999994</v>
      </c>
    </row>
    <row r="75" spans="2:11">
      <c r="B75" s="57" t="s">
        <v>169</v>
      </c>
      <c r="C75" s="128">
        <v>-10625.85</v>
      </c>
      <c r="D75" s="51"/>
      <c r="E75" s="127">
        <v>-10625.85</v>
      </c>
      <c r="F75" s="7"/>
      <c r="G75" s="51"/>
      <c r="H75" s="126"/>
      <c r="I75" s="8" t="s">
        <v>125</v>
      </c>
      <c r="J75" s="43">
        <f t="shared" si="3"/>
        <v>2950681.7165999995</v>
      </c>
    </row>
    <row r="76" spans="2:11">
      <c r="B76" s="57" t="s">
        <v>169</v>
      </c>
      <c r="C76" s="128">
        <v>-943382.5061</v>
      </c>
      <c r="D76" s="51"/>
      <c r="E76" s="127">
        <v>-952688.4</v>
      </c>
      <c r="F76" s="7"/>
      <c r="G76" s="51">
        <f t="shared" si="2"/>
        <v>9305.8939000000246</v>
      </c>
      <c r="H76" s="126"/>
      <c r="I76" s="8" t="s">
        <v>56</v>
      </c>
      <c r="J76" s="43">
        <f t="shared" si="3"/>
        <v>3894064.2226999993</v>
      </c>
    </row>
    <row r="77" spans="2:11">
      <c r="B77" s="57">
        <v>42919</v>
      </c>
      <c r="C77" s="128">
        <v>1008020.6375</v>
      </c>
      <c r="D77" s="51"/>
      <c r="E77" s="127">
        <v>1000974.5</v>
      </c>
      <c r="F77" s="7"/>
      <c r="G77" s="51">
        <f t="shared" si="2"/>
        <v>7046.1374999999534</v>
      </c>
      <c r="H77" s="126"/>
      <c r="I77" s="8"/>
      <c r="J77" s="43">
        <f t="shared" si="3"/>
        <v>2886043.5851999996</v>
      </c>
    </row>
    <row r="78" spans="2:11">
      <c r="B78" s="57">
        <v>42921</v>
      </c>
      <c r="C78" s="128">
        <v>500580.44449999998</v>
      </c>
      <c r="D78" s="51"/>
      <c r="E78" s="127">
        <v>497081.59999999998</v>
      </c>
      <c r="F78" s="7"/>
      <c r="G78" s="51">
        <f t="shared" si="2"/>
        <v>3498.8445000000065</v>
      </c>
      <c r="H78" s="126"/>
      <c r="I78" s="8" t="s">
        <v>176</v>
      </c>
      <c r="J78" s="43">
        <f t="shared" si="3"/>
        <v>2385463.1406999994</v>
      </c>
    </row>
    <row r="79" spans="2:11">
      <c r="B79" s="57">
        <v>42923</v>
      </c>
      <c r="C79" s="128">
        <v>1006803.6679</v>
      </c>
      <c r="D79" s="51"/>
      <c r="E79" s="127">
        <v>999766.7</v>
      </c>
      <c r="F79" s="7"/>
      <c r="G79" s="51">
        <f t="shared" si="2"/>
        <v>7036.9679000000469</v>
      </c>
      <c r="H79" s="126"/>
      <c r="I79" s="8"/>
      <c r="J79" s="43">
        <f t="shared" si="3"/>
        <v>1378659.4727999994</v>
      </c>
    </row>
    <row r="80" spans="2:11">
      <c r="B80" s="57">
        <v>42923</v>
      </c>
      <c r="C80" s="128">
        <v>-21080</v>
      </c>
      <c r="D80" s="51"/>
      <c r="E80" s="127">
        <v>-21080</v>
      </c>
      <c r="F80" s="7"/>
      <c r="G80" s="51"/>
      <c r="H80" s="126"/>
      <c r="I80" s="8" t="s">
        <v>125</v>
      </c>
      <c r="J80" s="43">
        <f t="shared" si="3"/>
        <v>1399739.4727999994</v>
      </c>
    </row>
    <row r="81" spans="2:11">
      <c r="B81" s="57">
        <v>42928</v>
      </c>
      <c r="C81" s="128">
        <v>505349.55650000001</v>
      </c>
      <c r="D81" s="51"/>
      <c r="E81" s="127">
        <v>501652.2</v>
      </c>
      <c r="F81" s="7"/>
      <c r="G81" s="51">
        <f t="shared" si="2"/>
        <v>3697.3564999999944</v>
      </c>
      <c r="H81" s="126"/>
      <c r="I81" s="8"/>
      <c r="J81" s="43">
        <f t="shared" si="3"/>
        <v>894389.91629999946</v>
      </c>
    </row>
    <row r="82" spans="2:11">
      <c r="B82" s="57">
        <v>42928</v>
      </c>
      <c r="C82" s="128">
        <v>503013.13040000002</v>
      </c>
      <c r="D82" s="51"/>
      <c r="E82" s="127">
        <v>499550</v>
      </c>
      <c r="F82" s="7"/>
      <c r="G82" s="51">
        <f t="shared" si="2"/>
        <v>3463.1304000000237</v>
      </c>
      <c r="H82" s="126"/>
      <c r="I82" s="8"/>
      <c r="J82" s="43">
        <f t="shared" si="3"/>
        <v>391376.78589999944</v>
      </c>
    </row>
    <row r="83" spans="2:11">
      <c r="B83" s="57">
        <v>42928</v>
      </c>
      <c r="C83" s="128">
        <f>-1113431.2+5.32-2.19</f>
        <v>-1113428.0699999998</v>
      </c>
      <c r="D83" s="51"/>
      <c r="E83" s="127">
        <v>-1130701.7</v>
      </c>
      <c r="F83" s="7"/>
      <c r="G83" s="51">
        <f t="shared" si="2"/>
        <v>17273.630000000121</v>
      </c>
      <c r="H83" s="126"/>
      <c r="I83" s="8" t="s">
        <v>113</v>
      </c>
      <c r="J83" s="43">
        <f t="shared" si="3"/>
        <v>1504804.8558999992</v>
      </c>
      <c r="K83" s="144"/>
    </row>
    <row r="84" spans="2:11">
      <c r="B84" s="57">
        <v>42929</v>
      </c>
      <c r="C84" s="128">
        <v>502173.23560000001</v>
      </c>
      <c r="D84" s="51"/>
      <c r="E84" s="127">
        <v>498663</v>
      </c>
      <c r="F84" s="7"/>
      <c r="G84" s="51">
        <f t="shared" si="2"/>
        <v>3510.2356000000145</v>
      </c>
      <c r="H84" s="126"/>
      <c r="I84" s="8" t="s">
        <v>177</v>
      </c>
      <c r="J84" s="43">
        <f t="shared" si="3"/>
        <v>1002631.6202999991</v>
      </c>
    </row>
    <row r="85" spans="2:11">
      <c r="B85" s="57">
        <v>42943</v>
      </c>
      <c r="C85" s="128">
        <v>498440.07179999998</v>
      </c>
      <c r="D85" s="51"/>
      <c r="E85" s="127">
        <v>494955.85</v>
      </c>
      <c r="F85" s="7"/>
      <c r="G85" s="51">
        <f t="shared" si="2"/>
        <v>3484.2217999999993</v>
      </c>
      <c r="H85" s="126"/>
      <c r="I85" s="8"/>
      <c r="J85" s="43">
        <f t="shared" si="3"/>
        <v>504191.54849999916</v>
      </c>
    </row>
    <row r="86" spans="2:11">
      <c r="B86" s="57">
        <v>42944</v>
      </c>
      <c r="C86" s="128">
        <f>-1040496.83+5.32</f>
        <v>-1040491.51</v>
      </c>
      <c r="D86" s="51"/>
      <c r="E86" s="127">
        <v>-1055785.45</v>
      </c>
      <c r="F86" s="7"/>
      <c r="G86" s="51">
        <f t="shared" si="2"/>
        <v>15293.939999999944</v>
      </c>
      <c r="H86" s="126"/>
      <c r="I86" s="8" t="s">
        <v>113</v>
      </c>
      <c r="J86" s="43">
        <f t="shared" si="3"/>
        <v>1544683.0584999991</v>
      </c>
      <c r="K86" s="144"/>
    </row>
    <row r="87" spans="2:11">
      <c r="B87" s="57">
        <v>42944</v>
      </c>
      <c r="C87" s="128">
        <v>502200.44089999999</v>
      </c>
      <c r="D87" s="51"/>
      <c r="E87" s="127">
        <v>498739.75</v>
      </c>
      <c r="F87" s="7"/>
      <c r="G87" s="51">
        <f t="shared" si="2"/>
        <v>3460.6908999999869</v>
      </c>
      <c r="H87" s="126"/>
      <c r="I87" s="8"/>
      <c r="J87" s="43">
        <f t="shared" si="3"/>
        <v>1042482.6175999991</v>
      </c>
    </row>
    <row r="88" spans="2:11">
      <c r="B88" s="57">
        <v>42944</v>
      </c>
      <c r="C88" s="128">
        <f>-SUM(Dividends!E21:E22)</f>
        <v>-28928.639999999999</v>
      </c>
      <c r="D88" s="51"/>
      <c r="E88" s="127">
        <f>C88</f>
        <v>-28928.639999999999</v>
      </c>
      <c r="F88" s="7"/>
      <c r="G88" s="51"/>
      <c r="H88" s="126"/>
      <c r="I88" s="8" t="s">
        <v>125</v>
      </c>
      <c r="J88" s="43">
        <f t="shared" si="3"/>
        <v>1071411.257599999</v>
      </c>
    </row>
    <row r="89" spans="2:11">
      <c r="B89" s="57">
        <v>42950</v>
      </c>
      <c r="C89" s="128">
        <f>-458275.1988+5.32</f>
        <v>-458269.87880000001</v>
      </c>
      <c r="D89" s="51"/>
      <c r="E89" s="127">
        <v>-461576.2</v>
      </c>
      <c r="F89" s="7"/>
      <c r="G89" s="51">
        <f t="shared" si="2"/>
        <v>3306.3212000000058</v>
      </c>
      <c r="H89" s="126"/>
      <c r="I89" s="8"/>
      <c r="J89" s="43">
        <f t="shared" si="3"/>
        <v>1529681.1363999988</v>
      </c>
    </row>
    <row r="90" spans="2:11">
      <c r="B90" s="57">
        <v>42950</v>
      </c>
      <c r="C90" s="128">
        <v>514672.29739999998</v>
      </c>
      <c r="D90" s="51"/>
      <c r="E90" s="127">
        <v>511126.05</v>
      </c>
      <c r="F90" s="7"/>
      <c r="G90" s="51">
        <f t="shared" si="2"/>
        <v>3546.2473999999929</v>
      </c>
      <c r="H90" s="126"/>
      <c r="I90" s="8"/>
      <c r="J90" s="43">
        <f t="shared" si="3"/>
        <v>1015008.8389999988</v>
      </c>
    </row>
    <row r="91" spans="2:11">
      <c r="B91" s="57">
        <v>42950</v>
      </c>
      <c r="C91" s="128">
        <v>-2919</v>
      </c>
      <c r="D91" s="51"/>
      <c r="E91" s="127">
        <f>C91</f>
        <v>-2919</v>
      </c>
      <c r="F91" s="7"/>
      <c r="G91" s="51"/>
      <c r="H91" s="126"/>
      <c r="I91" s="8" t="s">
        <v>125</v>
      </c>
      <c r="J91" s="43">
        <f t="shared" si="3"/>
        <v>1017927.8389999988</v>
      </c>
    </row>
    <row r="92" spans="2:11">
      <c r="B92" s="57">
        <v>42951</v>
      </c>
      <c r="C92" s="128">
        <v>118000</v>
      </c>
      <c r="D92" s="51"/>
      <c r="E92" s="127"/>
      <c r="F92" s="7"/>
      <c r="G92" s="51"/>
      <c r="H92" s="126">
        <v>118000</v>
      </c>
      <c r="I92" s="8" t="s">
        <v>190</v>
      </c>
      <c r="J92" s="43">
        <f t="shared" si="3"/>
        <v>899927.83899999876</v>
      </c>
    </row>
    <row r="93" spans="2:11">
      <c r="B93" s="57">
        <v>42951</v>
      </c>
      <c r="C93" s="128">
        <f>-601984.2407+9717.995+5.32</f>
        <v>-592260.92570000002</v>
      </c>
      <c r="D93" s="51"/>
      <c r="E93" s="127">
        <v>-606301.5</v>
      </c>
      <c r="F93" s="7"/>
      <c r="G93" s="51">
        <f t="shared" ref="G93:G95" si="4">C93-E93</f>
        <v>14040.574299999978</v>
      </c>
      <c r="H93" s="126"/>
      <c r="I93" s="8" t="s">
        <v>113</v>
      </c>
      <c r="J93" s="43">
        <f t="shared" si="3"/>
        <v>1492188.7646999988</v>
      </c>
    </row>
    <row r="94" spans="2:11">
      <c r="B94" s="57">
        <v>42951</v>
      </c>
      <c r="C94" s="128">
        <f>-494714.7639+5.32</f>
        <v>-494709.44390000001</v>
      </c>
      <c r="D94" s="51"/>
      <c r="E94" s="127">
        <v>-498171.25</v>
      </c>
      <c r="F94" s="7"/>
      <c r="G94" s="51">
        <f t="shared" si="4"/>
        <v>3461.8060999999871</v>
      </c>
      <c r="H94" s="126"/>
      <c r="I94" s="8" t="s">
        <v>56</v>
      </c>
      <c r="J94" s="43">
        <f t="shared" si="3"/>
        <v>1986898.2085999988</v>
      </c>
    </row>
    <row r="95" spans="2:11">
      <c r="B95" s="56">
        <v>42955</v>
      </c>
      <c r="C95" s="128">
        <v>501069.72619999998</v>
      </c>
      <c r="D95" s="51"/>
      <c r="E95" s="127">
        <v>497567</v>
      </c>
      <c r="F95" s="7"/>
      <c r="G95" s="51">
        <f t="shared" si="4"/>
        <v>3502.7261999999755</v>
      </c>
      <c r="H95" s="126"/>
      <c r="I95" s="8"/>
      <c r="J95" s="43">
        <f t="shared" si="3"/>
        <v>1485828.4823999989</v>
      </c>
    </row>
    <row r="96" spans="2:11">
      <c r="B96" s="56">
        <v>42957</v>
      </c>
      <c r="C96" s="128">
        <v>-8509.2000000000007</v>
      </c>
      <c r="D96" s="51"/>
      <c r="E96" s="127">
        <f>C96</f>
        <v>-8509.2000000000007</v>
      </c>
      <c r="F96" s="7"/>
      <c r="G96" s="51"/>
      <c r="H96" s="126"/>
      <c r="I96" s="8" t="s">
        <v>125</v>
      </c>
      <c r="J96" s="43">
        <f t="shared" si="3"/>
        <v>1494337.6823999989</v>
      </c>
    </row>
    <row r="97" spans="2:11">
      <c r="B97" s="56">
        <v>42958</v>
      </c>
      <c r="C97" s="128">
        <v>-11593.8</v>
      </c>
      <c r="D97" s="51"/>
      <c r="E97" s="127">
        <f>C97</f>
        <v>-11593.8</v>
      </c>
      <c r="F97" s="7"/>
      <c r="G97" s="51"/>
      <c r="H97" s="126"/>
      <c r="I97" s="8" t="s">
        <v>125</v>
      </c>
      <c r="J97" s="43">
        <f t="shared" si="3"/>
        <v>1505931.4823999989</v>
      </c>
    </row>
    <row r="98" spans="2:11">
      <c r="B98" s="56">
        <v>42961</v>
      </c>
      <c r="C98" s="128">
        <v>-15390</v>
      </c>
      <c r="D98" s="51"/>
      <c r="E98" s="127">
        <f>C98</f>
        <v>-15390</v>
      </c>
      <c r="F98" s="7"/>
      <c r="G98" s="51"/>
      <c r="H98" s="126"/>
      <c r="I98" s="8" t="s">
        <v>125</v>
      </c>
      <c r="J98" s="43">
        <f t="shared" si="3"/>
        <v>1521321.4823999989</v>
      </c>
    </row>
    <row r="99" spans="2:11">
      <c r="B99" s="56">
        <v>42961</v>
      </c>
      <c r="C99" s="128">
        <v>500361.32939999999</v>
      </c>
      <c r="D99" s="51"/>
      <c r="E99" s="127">
        <v>496712</v>
      </c>
      <c r="F99" s="7"/>
      <c r="G99" s="51">
        <f>C99-E99</f>
        <v>3649.3293999999878</v>
      </c>
      <c r="H99" s="126"/>
      <c r="I99" s="8" t="s">
        <v>192</v>
      </c>
      <c r="J99" s="43">
        <f t="shared" si="3"/>
        <v>1020960.152999999</v>
      </c>
      <c r="K99" s="14"/>
    </row>
    <row r="100" spans="2:11">
      <c r="B100" s="56">
        <v>42961</v>
      </c>
      <c r="C100" s="128">
        <v>497750.57069999998</v>
      </c>
      <c r="D100" s="51"/>
      <c r="E100" s="127">
        <v>494320.8</v>
      </c>
      <c r="F100" s="7"/>
      <c r="G100" s="51">
        <f>C100-E100</f>
        <v>3429.7706999999937</v>
      </c>
      <c r="H100" s="126"/>
      <c r="I100" s="8" t="s">
        <v>193</v>
      </c>
      <c r="J100" s="43">
        <f t="shared" si="3"/>
        <v>523209.58229999896</v>
      </c>
    </row>
    <row r="101" spans="2:11">
      <c r="B101" s="56">
        <v>42961</v>
      </c>
      <c r="C101" s="128">
        <f>-1017372.96+5.32</f>
        <v>-1017367.64</v>
      </c>
      <c r="D101" s="51"/>
      <c r="E101" s="127">
        <v>-1029283.2</v>
      </c>
      <c r="F101" s="7"/>
      <c r="G101" s="51">
        <f>C101-E101</f>
        <v>11915.559999999939</v>
      </c>
      <c r="H101" s="126"/>
      <c r="I101" s="8" t="s">
        <v>113</v>
      </c>
      <c r="J101" s="43">
        <f t="shared" si="3"/>
        <v>1540577.2222999991</v>
      </c>
    </row>
    <row r="102" spans="2:11">
      <c r="B102" s="56" t="s">
        <v>199</v>
      </c>
      <c r="C102" s="128">
        <v>-1665</v>
      </c>
      <c r="D102" s="51"/>
      <c r="E102" s="127">
        <v>-1665</v>
      </c>
      <c r="F102" s="7"/>
      <c r="G102" s="51"/>
      <c r="H102" s="126"/>
      <c r="I102" s="8" t="s">
        <v>125</v>
      </c>
      <c r="J102" s="43">
        <f t="shared" si="3"/>
        <v>1542242.2222999991</v>
      </c>
    </row>
    <row r="103" spans="2:11">
      <c r="B103" s="56" t="s">
        <v>200</v>
      </c>
      <c r="C103" s="128">
        <v>499331.32679999998</v>
      </c>
      <c r="D103" s="51"/>
      <c r="E103" s="127">
        <v>495840.85</v>
      </c>
      <c r="F103" s="7"/>
      <c r="G103" s="51">
        <f>C103-E103</f>
        <v>3490.476800000004</v>
      </c>
      <c r="H103" s="126"/>
      <c r="I103" s="8"/>
      <c r="J103" s="43">
        <f t="shared" si="3"/>
        <v>1042910.8954999992</v>
      </c>
    </row>
    <row r="104" spans="2:11">
      <c r="B104" s="56" t="s">
        <v>201</v>
      </c>
      <c r="C104" s="128">
        <v>-2950.49</v>
      </c>
      <c r="D104" s="51"/>
      <c r="E104" s="127">
        <v>-2950.49</v>
      </c>
      <c r="F104" s="7"/>
      <c r="G104" s="51"/>
      <c r="H104" s="126"/>
      <c r="I104" s="8" t="s">
        <v>125</v>
      </c>
      <c r="J104" s="43">
        <f t="shared" si="3"/>
        <v>1045861.3854999992</v>
      </c>
    </row>
    <row r="105" spans="2:11">
      <c r="B105" s="56" t="s">
        <v>204</v>
      </c>
      <c r="C105" s="128">
        <v>508315.82699999999</v>
      </c>
      <c r="D105" s="51"/>
      <c r="E105" s="127">
        <v>500365.25</v>
      </c>
      <c r="F105" s="7"/>
      <c r="G105" s="51">
        <f>C105-E105</f>
        <v>7950.5769999999902</v>
      </c>
      <c r="H105" s="126"/>
      <c r="I105" s="8"/>
      <c r="J105" s="43">
        <f t="shared" si="3"/>
        <v>537545.55849999911</v>
      </c>
    </row>
    <row r="106" spans="2:11">
      <c r="B106" s="56">
        <v>42985</v>
      </c>
      <c r="C106" s="128">
        <v>507411.4253</v>
      </c>
      <c r="D106" s="51"/>
      <c r="E106" s="127">
        <v>499476</v>
      </c>
      <c r="F106" s="7"/>
      <c r="G106" s="51">
        <f>C106-E106</f>
        <v>7935.4253000000026</v>
      </c>
      <c r="H106" s="126"/>
      <c r="I106" s="8"/>
      <c r="J106" s="43">
        <f t="shared" si="3"/>
        <v>30134.133199999109</v>
      </c>
    </row>
    <row r="107" spans="2:11">
      <c r="B107" s="56">
        <v>42989</v>
      </c>
      <c r="C107" s="128">
        <v>-997545.04</v>
      </c>
      <c r="D107" s="51"/>
      <c r="E107" s="127">
        <v>-997555.02</v>
      </c>
      <c r="F107" s="7"/>
      <c r="G107" s="51">
        <f>C107-E107</f>
        <v>9.9799999999813735</v>
      </c>
      <c r="H107" s="126"/>
      <c r="I107" s="8" t="s">
        <v>211</v>
      </c>
      <c r="J107" s="43">
        <f t="shared" si="3"/>
        <v>1027679.1731999991</v>
      </c>
    </row>
    <row r="108" spans="2:11">
      <c r="B108" s="56">
        <v>42989</v>
      </c>
      <c r="C108" s="128">
        <f>G108</f>
        <v>103250</v>
      </c>
      <c r="D108" s="51"/>
      <c r="E108" s="127"/>
      <c r="F108" s="7"/>
      <c r="G108" s="51">
        <v>103250</v>
      </c>
      <c r="H108" s="126"/>
      <c r="I108" s="8" t="s">
        <v>226</v>
      </c>
      <c r="J108" s="43">
        <f t="shared" si="3"/>
        <v>924429.17319999915</v>
      </c>
    </row>
    <row r="109" spans="2:11">
      <c r="B109" s="56">
        <v>42989</v>
      </c>
      <c r="C109" s="128">
        <f>-529359.41+5.32</f>
        <v>-529354.09000000008</v>
      </c>
      <c r="D109" s="51"/>
      <c r="E109" s="127">
        <v>-536924</v>
      </c>
      <c r="F109" s="7"/>
      <c r="G109" s="51">
        <f>C109-E109</f>
        <v>7569.9099999999162</v>
      </c>
      <c r="H109" s="126"/>
      <c r="I109" s="8" t="s">
        <v>113</v>
      </c>
      <c r="J109" s="43">
        <f t="shared" si="3"/>
        <v>1453783.2631999992</v>
      </c>
    </row>
    <row r="110" spans="2:11">
      <c r="B110" s="56">
        <v>42989</v>
      </c>
      <c r="C110" s="128">
        <v>495492.38270000002</v>
      </c>
      <c r="D110" s="51"/>
      <c r="E110" s="127">
        <v>494978.4</v>
      </c>
      <c r="F110" s="7"/>
      <c r="G110" s="51">
        <f>C110-E110</f>
        <v>513.9826999999932</v>
      </c>
      <c r="H110" s="126"/>
      <c r="I110" s="8"/>
      <c r="J110" s="43">
        <f t="shared" ref="J110:J174" si="5">J109-E110-F110-G110-H110-D110</f>
        <v>958290.88049999927</v>
      </c>
    </row>
    <row r="111" spans="2:11">
      <c r="B111" s="56">
        <v>42991</v>
      </c>
      <c r="C111" s="128">
        <v>-10000000</v>
      </c>
      <c r="D111" s="51"/>
      <c r="E111" s="128">
        <v>-10000000</v>
      </c>
      <c r="F111" s="7"/>
      <c r="G111" s="51"/>
      <c r="H111" s="126"/>
      <c r="I111" s="8"/>
      <c r="J111" s="43">
        <f t="shared" si="5"/>
        <v>10958290.8805</v>
      </c>
    </row>
    <row r="112" spans="2:11">
      <c r="B112" s="56">
        <v>42992</v>
      </c>
      <c r="C112" s="128">
        <v>744012.83259999997</v>
      </c>
      <c r="D112" s="51"/>
      <c r="E112" s="128">
        <v>742969.25</v>
      </c>
      <c r="F112" s="7"/>
      <c r="G112" s="51">
        <f t="shared" ref="G112:G117" si="6">C112-E112</f>
        <v>1043.5825999999652</v>
      </c>
      <c r="H112" s="126"/>
      <c r="I112" s="8"/>
      <c r="J112" s="43">
        <f t="shared" si="5"/>
        <v>10214278.047900001</v>
      </c>
    </row>
    <row r="113" spans="2:10">
      <c r="B113" s="56">
        <v>42992</v>
      </c>
      <c r="C113" s="128">
        <v>989215.23620000004</v>
      </c>
      <c r="D113" s="51"/>
      <c r="E113" s="128">
        <v>988189.15</v>
      </c>
      <c r="F113" s="7"/>
      <c r="G113" s="51">
        <f t="shared" si="6"/>
        <v>1026.0862000000197</v>
      </c>
      <c r="H113" s="126"/>
      <c r="I113" s="8"/>
      <c r="J113" s="43">
        <f t="shared" si="5"/>
        <v>9225062.8116999995</v>
      </c>
    </row>
    <row r="114" spans="2:10">
      <c r="B114" s="56">
        <v>42992</v>
      </c>
      <c r="C114" s="128">
        <v>987745.66200000001</v>
      </c>
      <c r="D114" s="51"/>
      <c r="E114" s="128">
        <v>986721.1</v>
      </c>
      <c r="F114" s="7"/>
      <c r="G114" s="51">
        <f t="shared" si="6"/>
        <v>1024.5620000000345</v>
      </c>
      <c r="H114" s="126"/>
      <c r="I114" s="8"/>
      <c r="J114" s="43">
        <f t="shared" si="5"/>
        <v>8237317.1497</v>
      </c>
    </row>
    <row r="115" spans="2:10">
      <c r="B115" s="56">
        <v>42993</v>
      </c>
      <c r="C115" s="128">
        <f>-850718.7868+5.32</f>
        <v>-850713.46680000005</v>
      </c>
      <c r="D115" s="51"/>
      <c r="E115" s="128">
        <v>-851689.45</v>
      </c>
      <c r="F115" s="7"/>
      <c r="G115" s="51">
        <f t="shared" si="6"/>
        <v>975.98319999990053</v>
      </c>
      <c r="H115" s="126"/>
      <c r="I115" s="8" t="s">
        <v>56</v>
      </c>
      <c r="J115" s="43">
        <f t="shared" si="5"/>
        <v>9088030.6164999995</v>
      </c>
    </row>
    <row r="116" spans="2:10">
      <c r="B116" s="56">
        <v>42997</v>
      </c>
      <c r="C116" s="128">
        <v>750765.00179999997</v>
      </c>
      <c r="D116" s="51"/>
      <c r="E116" s="128">
        <v>749708.25</v>
      </c>
      <c r="F116" s="7"/>
      <c r="G116" s="51">
        <f t="shared" si="6"/>
        <v>1056.7517999999691</v>
      </c>
      <c r="H116" s="126"/>
      <c r="I116" s="8"/>
      <c r="J116" s="43">
        <f t="shared" si="5"/>
        <v>8337265.6146999998</v>
      </c>
    </row>
    <row r="117" spans="2:10">
      <c r="B117" s="56">
        <v>42997</v>
      </c>
      <c r="C117" s="128">
        <f>-938788.047+5.32</f>
        <v>-938782.72700000007</v>
      </c>
      <c r="D117" s="51"/>
      <c r="E117" s="128">
        <v>-939763.85</v>
      </c>
      <c r="F117" s="7"/>
      <c r="G117" s="51">
        <f t="shared" si="6"/>
        <v>981.12299999990501</v>
      </c>
      <c r="H117" s="126"/>
      <c r="I117" s="8" t="s">
        <v>56</v>
      </c>
      <c r="J117" s="43">
        <f t="shared" si="5"/>
        <v>9276048.3417000007</v>
      </c>
    </row>
    <row r="118" spans="2:10">
      <c r="B118" s="56">
        <v>42997</v>
      </c>
      <c r="C118" s="128">
        <f>-1079682.0649+5.32</f>
        <v>-1079676.7449</v>
      </c>
      <c r="D118" s="51"/>
      <c r="E118" s="128">
        <v>-1080804.75</v>
      </c>
      <c r="F118" s="7"/>
      <c r="G118" s="51">
        <f t="shared" ref="G118:G155" si="7">C118-E118</f>
        <v>1128.0050999999512</v>
      </c>
      <c r="H118" s="126"/>
      <c r="I118" s="8" t="s">
        <v>56</v>
      </c>
      <c r="J118" s="43">
        <f t="shared" si="5"/>
        <v>10355725.0866</v>
      </c>
    </row>
    <row r="119" spans="2:10">
      <c r="B119" s="56">
        <v>42998</v>
      </c>
      <c r="C119" s="128">
        <v>743050.31629999995</v>
      </c>
      <c r="D119" s="51"/>
      <c r="E119" s="128">
        <v>742204.85</v>
      </c>
      <c r="F119" s="7"/>
      <c r="G119" s="51">
        <f t="shared" si="7"/>
        <v>845.46629999997094</v>
      </c>
      <c r="H119" s="126"/>
      <c r="I119" s="8"/>
      <c r="J119" s="43">
        <f t="shared" si="5"/>
        <v>9612674.7703000009</v>
      </c>
    </row>
    <row r="120" spans="2:10">
      <c r="B120" s="56">
        <v>42999</v>
      </c>
      <c r="C120" s="128">
        <v>750326.09230000002</v>
      </c>
      <c r="D120" s="51"/>
      <c r="E120" s="128">
        <v>749473.35</v>
      </c>
      <c r="F120" s="7"/>
      <c r="G120" s="51">
        <f t="shared" si="7"/>
        <v>852.74230000004172</v>
      </c>
      <c r="H120" s="126"/>
      <c r="I120" s="8"/>
      <c r="J120" s="43">
        <f t="shared" si="5"/>
        <v>8862348.6780000012</v>
      </c>
    </row>
    <row r="121" spans="2:10">
      <c r="B121" s="56">
        <v>43000</v>
      </c>
      <c r="C121" s="128">
        <v>745557.55889999995</v>
      </c>
      <c r="D121" s="51"/>
      <c r="E121" s="128">
        <v>744709</v>
      </c>
      <c r="F121" s="7"/>
      <c r="G121" s="51">
        <f t="shared" si="7"/>
        <v>848.55889999994542</v>
      </c>
      <c r="H121" s="126"/>
      <c r="I121" s="8"/>
      <c r="J121" s="43">
        <f t="shared" si="5"/>
        <v>8116791.1191000016</v>
      </c>
    </row>
    <row r="122" spans="2:10">
      <c r="B122" s="56">
        <v>43003</v>
      </c>
      <c r="C122" s="128">
        <v>496619.12420000002</v>
      </c>
      <c r="D122" s="51"/>
      <c r="E122" s="128">
        <v>496054.1</v>
      </c>
      <c r="F122" s="7"/>
      <c r="G122" s="51">
        <f t="shared" si="7"/>
        <v>565.02420000004349</v>
      </c>
      <c r="H122" s="126"/>
      <c r="I122" s="8"/>
      <c r="J122" s="43">
        <f t="shared" si="5"/>
        <v>7620171.9949000021</v>
      </c>
    </row>
    <row r="123" spans="2:10">
      <c r="B123" s="56">
        <v>43004</v>
      </c>
      <c r="C123" s="128">
        <v>-4842</v>
      </c>
      <c r="D123" s="51"/>
      <c r="E123" s="128">
        <v>-4842</v>
      </c>
      <c r="F123" s="7"/>
      <c r="G123" s="51"/>
      <c r="H123" s="126"/>
      <c r="I123" s="8" t="s">
        <v>125</v>
      </c>
      <c r="J123" s="43">
        <f t="shared" si="5"/>
        <v>7625013.9949000021</v>
      </c>
    </row>
    <row r="124" spans="2:10">
      <c r="B124" s="56">
        <v>43004</v>
      </c>
      <c r="C124" s="128">
        <v>750653.75600000005</v>
      </c>
      <c r="D124" s="51"/>
      <c r="E124" s="128">
        <v>749800</v>
      </c>
      <c r="F124" s="7"/>
      <c r="G124" s="51">
        <f t="shared" si="7"/>
        <v>853.75600000005215</v>
      </c>
      <c r="H124" s="126"/>
      <c r="I124" s="8"/>
      <c r="J124" s="43">
        <f t="shared" si="5"/>
        <v>6874360.2389000021</v>
      </c>
    </row>
    <row r="125" spans="2:10">
      <c r="B125" s="56">
        <v>43006</v>
      </c>
      <c r="C125" s="128">
        <v>-1162</v>
      </c>
      <c r="D125" s="51"/>
      <c r="E125" s="128">
        <v>-1162</v>
      </c>
      <c r="F125" s="7"/>
      <c r="G125" s="51"/>
      <c r="H125" s="126"/>
      <c r="I125" s="8" t="s">
        <v>125</v>
      </c>
      <c r="J125" s="43">
        <f t="shared" si="5"/>
        <v>6875522.2389000021</v>
      </c>
    </row>
    <row r="126" spans="2:10">
      <c r="B126" s="56">
        <v>43006</v>
      </c>
      <c r="C126" s="128">
        <v>743658.32440000004</v>
      </c>
      <c r="D126" s="51"/>
      <c r="E126" s="128">
        <v>742886.95</v>
      </c>
      <c r="F126" s="7"/>
      <c r="G126" s="51">
        <f t="shared" si="7"/>
        <v>771.37440000008792</v>
      </c>
      <c r="H126" s="126"/>
      <c r="I126" s="8"/>
      <c r="J126" s="43">
        <f t="shared" si="5"/>
        <v>6131863.9145000018</v>
      </c>
    </row>
    <row r="127" spans="2:10">
      <c r="B127" s="56">
        <v>43006</v>
      </c>
      <c r="C127" s="128">
        <v>483401.9203</v>
      </c>
      <c r="D127" s="51"/>
      <c r="E127" s="128">
        <v>482900.5</v>
      </c>
      <c r="F127" s="7"/>
      <c r="G127" s="51">
        <f t="shared" si="7"/>
        <v>501.42029999999795</v>
      </c>
      <c r="H127" s="126"/>
      <c r="I127" s="8"/>
      <c r="J127" s="43">
        <f t="shared" si="5"/>
        <v>5648461.9942000015</v>
      </c>
    </row>
    <row r="128" spans="2:10">
      <c r="B128" s="56">
        <v>43006</v>
      </c>
      <c r="C128" s="128">
        <v>749745.69039999996</v>
      </c>
      <c r="D128" s="51"/>
      <c r="E128" s="128">
        <v>748968</v>
      </c>
      <c r="F128" s="7"/>
      <c r="G128" s="51">
        <f t="shared" si="7"/>
        <v>777.69039999996312</v>
      </c>
      <c r="H128" s="126"/>
      <c r="I128" s="8"/>
      <c r="J128" s="43">
        <f t="shared" si="5"/>
        <v>4898716.3038000017</v>
      </c>
    </row>
    <row r="129" spans="2:11">
      <c r="B129" s="56">
        <v>43006</v>
      </c>
      <c r="C129" s="128">
        <v>744644.39939999999</v>
      </c>
      <c r="D129" s="51"/>
      <c r="E129" s="128">
        <v>743872</v>
      </c>
      <c r="F129" s="7"/>
      <c r="G129" s="51">
        <f t="shared" si="7"/>
        <v>772.39939999999478</v>
      </c>
      <c r="H129" s="126"/>
      <c r="I129" s="8"/>
      <c r="J129" s="43">
        <f t="shared" si="5"/>
        <v>4154071.9044000017</v>
      </c>
    </row>
    <row r="130" spans="2:11">
      <c r="B130" s="56">
        <v>43006</v>
      </c>
      <c r="C130" s="128">
        <v>495325.23690000002</v>
      </c>
      <c r="D130" s="51"/>
      <c r="E130" s="128">
        <v>494489.9</v>
      </c>
      <c r="F130" s="7"/>
      <c r="G130" s="51">
        <f t="shared" si="7"/>
        <v>835.33689999999478</v>
      </c>
      <c r="H130" s="126"/>
      <c r="I130" s="8"/>
      <c r="J130" s="43">
        <f t="shared" si="5"/>
        <v>3658746.6675000018</v>
      </c>
    </row>
    <row r="131" spans="2:11">
      <c r="B131" s="56">
        <v>43007</v>
      </c>
      <c r="C131" s="128">
        <v>497925.26870000002</v>
      </c>
      <c r="D131" s="51"/>
      <c r="E131" s="128">
        <v>497238.2</v>
      </c>
      <c r="F131" s="7"/>
      <c r="G131" s="51">
        <f t="shared" si="7"/>
        <v>687.06870000000345</v>
      </c>
      <c r="H131" s="126"/>
      <c r="I131" s="8"/>
      <c r="J131" s="43">
        <f t="shared" si="5"/>
        <v>3160821.3988000015</v>
      </c>
      <c r="K131" s="75"/>
    </row>
    <row r="132" spans="2:11">
      <c r="B132" s="56">
        <v>43007</v>
      </c>
      <c r="C132" s="128">
        <f>-1190048.41+5.32</f>
        <v>-1190043.0899999999</v>
      </c>
      <c r="D132" s="51"/>
      <c r="E132" s="128">
        <v>-1203136.55</v>
      </c>
      <c r="F132" s="7"/>
      <c r="G132" s="51">
        <f t="shared" si="7"/>
        <v>13093.460000000196</v>
      </c>
      <c r="H132" s="126"/>
      <c r="I132" s="8" t="s">
        <v>238</v>
      </c>
      <c r="J132" s="43">
        <f t="shared" si="5"/>
        <v>4350864.4888000013</v>
      </c>
    </row>
    <row r="133" spans="2:11">
      <c r="B133" s="56">
        <v>43009</v>
      </c>
      <c r="C133" s="128">
        <f>G133</f>
        <v>309750</v>
      </c>
      <c r="D133" s="51"/>
      <c r="E133" s="127"/>
      <c r="F133" s="7"/>
      <c r="G133" s="51">
        <v>309750</v>
      </c>
      <c r="H133" s="126"/>
      <c r="I133" s="8" t="s">
        <v>226</v>
      </c>
      <c r="J133" s="43">
        <f t="shared" si="5"/>
        <v>4041114.4888000013</v>
      </c>
    </row>
    <row r="134" spans="2:11">
      <c r="B134" s="56">
        <v>43011</v>
      </c>
      <c r="C134" s="128">
        <v>-6946</v>
      </c>
      <c r="D134" s="51"/>
      <c r="E134" s="128">
        <f>C134</f>
        <v>-6946</v>
      </c>
      <c r="F134" s="7"/>
      <c r="G134" s="51"/>
      <c r="H134" s="126"/>
      <c r="I134" s="8" t="s">
        <v>125</v>
      </c>
      <c r="J134" s="43">
        <f t="shared" si="5"/>
        <v>4048060.4888000013</v>
      </c>
    </row>
    <row r="135" spans="2:11">
      <c r="B135" s="56">
        <v>43011</v>
      </c>
      <c r="C135" s="128">
        <v>-2618</v>
      </c>
      <c r="D135" s="51"/>
      <c r="E135" s="128">
        <f>C135</f>
        <v>-2618</v>
      </c>
      <c r="F135" s="7"/>
      <c r="G135" s="51"/>
      <c r="H135" s="126"/>
      <c r="I135" s="8" t="s">
        <v>125</v>
      </c>
      <c r="J135" s="43">
        <f t="shared" si="5"/>
        <v>4050678.4888000013</v>
      </c>
    </row>
    <row r="136" spans="2:11">
      <c r="B136" s="56">
        <v>43011</v>
      </c>
      <c r="C136" s="128">
        <v>743238.22080000001</v>
      </c>
      <c r="D136" s="51"/>
      <c r="E136" s="128">
        <v>742392.75</v>
      </c>
      <c r="F136" s="7"/>
      <c r="G136" s="51">
        <f t="shared" si="7"/>
        <v>845.47080000001006</v>
      </c>
      <c r="H136" s="126"/>
      <c r="I136" s="8"/>
      <c r="J136" s="43">
        <f t="shared" si="5"/>
        <v>3307440.2680000011</v>
      </c>
    </row>
    <row r="137" spans="2:11">
      <c r="B137" s="56">
        <v>43012</v>
      </c>
      <c r="C137" s="128">
        <v>782605.62950000004</v>
      </c>
      <c r="D137" s="51"/>
      <c r="E137" s="128">
        <v>781714.65</v>
      </c>
      <c r="F137" s="7"/>
      <c r="G137" s="51">
        <f t="shared" si="7"/>
        <v>890.97950000001583</v>
      </c>
      <c r="H137" s="126"/>
      <c r="I137" s="8"/>
      <c r="J137" s="43">
        <f t="shared" si="5"/>
        <v>2524834.6385000013</v>
      </c>
    </row>
    <row r="138" spans="2:11">
      <c r="B138" s="56">
        <v>43019</v>
      </c>
      <c r="C138" s="128">
        <v>750445.74699999997</v>
      </c>
      <c r="D138" s="51"/>
      <c r="E138" s="128">
        <v>749592</v>
      </c>
      <c r="F138" s="7"/>
      <c r="G138" s="51">
        <f t="shared" si="7"/>
        <v>853.74699999997392</v>
      </c>
      <c r="H138" s="126"/>
      <c r="I138" s="8"/>
      <c r="J138" s="43">
        <f t="shared" si="5"/>
        <v>1774388.8915000013</v>
      </c>
    </row>
    <row r="139" spans="2:11">
      <c r="B139" s="56">
        <v>43020</v>
      </c>
      <c r="C139" s="128">
        <f>-884296.93+5.32</f>
        <v>-884291.6100000001</v>
      </c>
      <c r="D139" s="51"/>
      <c r="E139" s="128">
        <v>-915681.05</v>
      </c>
      <c r="F139" s="7"/>
      <c r="G139" s="51">
        <f t="shared" si="7"/>
        <v>31389.439999999944</v>
      </c>
      <c r="H139" s="126"/>
      <c r="I139" s="8" t="s">
        <v>113</v>
      </c>
      <c r="J139" s="43">
        <f t="shared" si="5"/>
        <v>2658680.5015000016</v>
      </c>
    </row>
    <row r="140" spans="2:11">
      <c r="B140" s="56">
        <v>43021</v>
      </c>
      <c r="C140" s="128">
        <v>750354.94350000005</v>
      </c>
      <c r="D140" s="51"/>
      <c r="E140" s="128">
        <v>749501.2</v>
      </c>
      <c r="F140" s="7"/>
      <c r="G140" s="51">
        <f t="shared" si="7"/>
        <v>853.74350000009872</v>
      </c>
      <c r="H140" s="126"/>
      <c r="I140" s="8"/>
      <c r="J140" s="43">
        <f t="shared" si="5"/>
        <v>1908325.5580000016</v>
      </c>
    </row>
    <row r="141" spans="2:11">
      <c r="B141" s="56">
        <v>43024</v>
      </c>
      <c r="C141" s="128">
        <v>744770.91689999995</v>
      </c>
      <c r="D141" s="51"/>
      <c r="E141" s="128">
        <v>743864.5</v>
      </c>
      <c r="F141" s="7"/>
      <c r="G141" s="51">
        <f t="shared" si="7"/>
        <v>906.41689999995288</v>
      </c>
      <c r="H141" s="126"/>
      <c r="I141" s="8"/>
      <c r="J141" s="43">
        <f t="shared" si="5"/>
        <v>1163554.6411000015</v>
      </c>
    </row>
    <row r="142" spans="2:11">
      <c r="B142" s="56">
        <v>43024</v>
      </c>
      <c r="C142" s="128">
        <v>594727.84459999995</v>
      </c>
      <c r="D142" s="51"/>
      <c r="E142" s="128">
        <v>594110.94999999995</v>
      </c>
      <c r="F142" s="7"/>
      <c r="G142" s="51">
        <f t="shared" si="7"/>
        <v>616.89459999999963</v>
      </c>
      <c r="H142" s="126"/>
      <c r="I142" s="8"/>
      <c r="J142" s="43">
        <f t="shared" si="5"/>
        <v>568826.79650000157</v>
      </c>
    </row>
    <row r="143" spans="2:11">
      <c r="B143" s="56">
        <v>43026</v>
      </c>
      <c r="C143" s="128">
        <f>-711328.3237+5.32</f>
        <v>-711323.0037</v>
      </c>
      <c r="D143" s="51"/>
      <c r="E143" s="128">
        <v>-712067.7</v>
      </c>
      <c r="F143" s="7"/>
      <c r="G143" s="51">
        <f t="shared" si="7"/>
        <v>744.69629999995232</v>
      </c>
      <c r="H143" s="126"/>
      <c r="I143" s="8" t="s">
        <v>235</v>
      </c>
      <c r="J143" s="43">
        <f t="shared" si="5"/>
        <v>1280149.8002000016</v>
      </c>
    </row>
    <row r="144" spans="2:11">
      <c r="B144" s="56">
        <v>43026</v>
      </c>
      <c r="C144" s="128">
        <f>-461550.5446+5.32</f>
        <v>-461545.22460000002</v>
      </c>
      <c r="D144" s="51"/>
      <c r="E144" s="128">
        <v>-462148.2</v>
      </c>
      <c r="F144" s="7"/>
      <c r="G144" s="51">
        <f t="shared" si="7"/>
        <v>602.97539999999572</v>
      </c>
      <c r="H144" s="126"/>
      <c r="I144" s="8" t="s">
        <v>235</v>
      </c>
      <c r="J144" s="43">
        <f t="shared" si="5"/>
        <v>1741695.0248000016</v>
      </c>
    </row>
    <row r="145" spans="2:10">
      <c r="B145" s="56">
        <v>43027</v>
      </c>
      <c r="C145" s="128">
        <v>-3698</v>
      </c>
      <c r="D145" s="51"/>
      <c r="E145" s="128">
        <v>-3698</v>
      </c>
      <c r="F145" s="7"/>
      <c r="G145" s="51"/>
      <c r="H145" s="126"/>
      <c r="I145" s="8" t="s">
        <v>236</v>
      </c>
      <c r="J145" s="43">
        <f t="shared" si="5"/>
        <v>1745393.0248000016</v>
      </c>
    </row>
    <row r="146" spans="2:10">
      <c r="B146" s="56">
        <v>43031</v>
      </c>
      <c r="C146" s="128">
        <f>-821694.9061+782.5+5.32</f>
        <v>-820907.08610000007</v>
      </c>
      <c r="D146" s="51"/>
      <c r="E146" s="128">
        <v>-822549</v>
      </c>
      <c r="F146" s="7"/>
      <c r="G146" s="51">
        <f t="shared" si="7"/>
        <v>1641.9138999999268</v>
      </c>
      <c r="H146" s="126"/>
      <c r="I146" s="8" t="s">
        <v>113</v>
      </c>
      <c r="J146" s="43">
        <f t="shared" si="5"/>
        <v>2566300.1109000016</v>
      </c>
    </row>
    <row r="147" spans="2:10">
      <c r="B147" s="56">
        <v>43031</v>
      </c>
      <c r="C147" s="128">
        <f>-520519.1608+782.5+5.32</f>
        <v>-519731.34080000001</v>
      </c>
      <c r="D147" s="51"/>
      <c r="E147" s="128">
        <v>-521195.6</v>
      </c>
      <c r="F147" s="7"/>
      <c r="G147" s="51">
        <f t="shared" si="7"/>
        <v>1464.2591999999713</v>
      </c>
      <c r="H147" s="126"/>
      <c r="I147" s="8" t="s">
        <v>113</v>
      </c>
      <c r="J147" s="43">
        <f t="shared" si="5"/>
        <v>3086031.451700002</v>
      </c>
    </row>
    <row r="148" spans="2:10">
      <c r="B148" s="56">
        <v>43032</v>
      </c>
      <c r="C148" s="128">
        <v>750326.39240000001</v>
      </c>
      <c r="D148" s="51"/>
      <c r="E148" s="128">
        <v>749473.65</v>
      </c>
      <c r="F148" s="7"/>
      <c r="G148" s="51">
        <f t="shared" si="7"/>
        <v>852.74239999998827</v>
      </c>
      <c r="H148" s="126"/>
      <c r="I148" s="8"/>
      <c r="J148" s="43">
        <f t="shared" si="5"/>
        <v>2335705.0593000022</v>
      </c>
    </row>
    <row r="149" spans="2:10">
      <c r="B149" s="56">
        <v>43032</v>
      </c>
      <c r="C149" s="128">
        <v>-408.1</v>
      </c>
      <c r="D149" s="51"/>
      <c r="E149" s="128">
        <v>-408.1</v>
      </c>
      <c r="F149" s="7"/>
      <c r="G149" s="51"/>
      <c r="H149" s="126"/>
      <c r="I149" s="8" t="s">
        <v>236</v>
      </c>
      <c r="J149" s="43">
        <f t="shared" si="5"/>
        <v>2336113.1593000023</v>
      </c>
    </row>
    <row r="150" spans="2:10">
      <c r="B150" s="56">
        <v>43033</v>
      </c>
      <c r="C150" s="128">
        <f>-1659414.87+5.32</f>
        <v>-1659409.55</v>
      </c>
      <c r="D150" s="51"/>
      <c r="E150" s="128">
        <v>-1694080.05</v>
      </c>
      <c r="F150" s="7"/>
      <c r="G150" s="51">
        <f t="shared" si="7"/>
        <v>34670.5</v>
      </c>
      <c r="H150" s="126"/>
      <c r="I150" s="8" t="s">
        <v>113</v>
      </c>
      <c r="J150" s="43">
        <f t="shared" si="5"/>
        <v>3995522.7093000021</v>
      </c>
    </row>
    <row r="151" spans="2:10">
      <c r="B151" s="56">
        <v>43033</v>
      </c>
      <c r="C151" s="128">
        <v>1507503.4609000001</v>
      </c>
      <c r="D151" s="51"/>
      <c r="E151" s="128">
        <v>1507445.65</v>
      </c>
      <c r="F151" s="7"/>
      <c r="G151" s="51">
        <f t="shared" si="7"/>
        <v>57.810900000156835</v>
      </c>
      <c r="H151" s="126"/>
      <c r="I151" s="8"/>
      <c r="J151" s="43">
        <f t="shared" si="5"/>
        <v>2488019.2484000018</v>
      </c>
    </row>
    <row r="152" spans="2:10">
      <c r="B152" s="56">
        <v>43033</v>
      </c>
      <c r="C152" s="128">
        <v>743248.81</v>
      </c>
      <c r="D152" s="51"/>
      <c r="E152" s="128">
        <v>742478.35</v>
      </c>
      <c r="F152" s="7"/>
      <c r="G152" s="51">
        <f t="shared" si="7"/>
        <v>770.46000000007916</v>
      </c>
      <c r="H152" s="126"/>
      <c r="I152" s="8"/>
      <c r="J152" s="43">
        <f t="shared" si="5"/>
        <v>1744770.4384000017</v>
      </c>
    </row>
    <row r="153" spans="2:10">
      <c r="B153" s="56">
        <v>43039</v>
      </c>
      <c r="C153" s="128">
        <f>-1110284.9213+5.32</f>
        <v>-1110279.6013</v>
      </c>
      <c r="D153" s="51"/>
      <c r="E153" s="128">
        <v>-1111551.55</v>
      </c>
      <c r="F153" s="7"/>
      <c r="G153" s="51">
        <f t="shared" si="7"/>
        <v>1271.9487000000663</v>
      </c>
      <c r="H153" s="126"/>
      <c r="I153" s="8" t="s">
        <v>235</v>
      </c>
      <c r="J153" s="43">
        <f t="shared" si="5"/>
        <v>2855050.0397000019</v>
      </c>
    </row>
    <row r="154" spans="2:10">
      <c r="B154" s="56">
        <v>43039</v>
      </c>
      <c r="C154" s="128">
        <v>-2919</v>
      </c>
      <c r="D154" s="51"/>
      <c r="E154" s="128">
        <v>-2919</v>
      </c>
      <c r="F154" s="7"/>
      <c r="G154" s="51"/>
      <c r="H154" s="126"/>
      <c r="I154" s="8" t="s">
        <v>236</v>
      </c>
      <c r="J154" s="43">
        <f t="shared" si="5"/>
        <v>2857969.0397000019</v>
      </c>
    </row>
    <row r="155" spans="2:10">
      <c r="B155" s="56">
        <v>43042</v>
      </c>
      <c r="C155" s="128">
        <f>-805587.94+5.32</f>
        <v>-805582.62</v>
      </c>
      <c r="D155" s="51"/>
      <c r="E155" s="128">
        <v>-820331.4</v>
      </c>
      <c r="F155" s="7"/>
      <c r="G155" s="51">
        <f t="shared" si="7"/>
        <v>14748.780000000028</v>
      </c>
      <c r="H155" s="126"/>
      <c r="I155" s="8" t="s">
        <v>113</v>
      </c>
      <c r="J155" s="43">
        <f t="shared" si="5"/>
        <v>3663551.6597000016</v>
      </c>
    </row>
    <row r="156" spans="2:10">
      <c r="B156" s="56">
        <v>43042</v>
      </c>
      <c r="C156" s="128">
        <v>-3680.85</v>
      </c>
      <c r="D156" s="51"/>
      <c r="E156" s="128">
        <v>-3680.85</v>
      </c>
      <c r="F156" s="7"/>
      <c r="G156" s="51"/>
      <c r="H156" s="126"/>
      <c r="I156" s="8" t="s">
        <v>236</v>
      </c>
      <c r="J156" s="43">
        <f t="shared" si="5"/>
        <v>3667232.5097000017</v>
      </c>
    </row>
    <row r="157" spans="2:10">
      <c r="B157" s="56">
        <v>43043</v>
      </c>
      <c r="C157" s="128">
        <v>-10322</v>
      </c>
      <c r="D157" s="51"/>
      <c r="E157" s="128">
        <v>-10322</v>
      </c>
      <c r="F157" s="7"/>
      <c r="G157" s="51"/>
      <c r="H157" s="126"/>
      <c r="I157" s="8" t="s">
        <v>236</v>
      </c>
      <c r="J157" s="43">
        <f t="shared" si="5"/>
        <v>3677554.5097000017</v>
      </c>
    </row>
    <row r="158" spans="2:10">
      <c r="B158" s="56">
        <v>43046</v>
      </c>
      <c r="C158" s="128">
        <f>-754586.18+5.32</f>
        <v>-754580.8600000001</v>
      </c>
      <c r="D158" s="51"/>
      <c r="E158" s="128">
        <v>-756618.2</v>
      </c>
      <c r="F158" s="7"/>
      <c r="G158" s="51">
        <f t="shared" ref="G158:G223" si="8">C158-E158</f>
        <v>2037.339999999851</v>
      </c>
      <c r="H158" s="126"/>
      <c r="I158" s="8" t="s">
        <v>113</v>
      </c>
      <c r="J158" s="43">
        <f t="shared" si="5"/>
        <v>4432135.3697000016</v>
      </c>
    </row>
    <row r="159" spans="2:10">
      <c r="B159" s="56">
        <v>43046</v>
      </c>
      <c r="C159" s="128">
        <v>750703.68530000001</v>
      </c>
      <c r="D159" s="51"/>
      <c r="E159" s="128">
        <v>749925</v>
      </c>
      <c r="F159" s="7"/>
      <c r="G159" s="51">
        <f t="shared" si="8"/>
        <v>778.68530000001192</v>
      </c>
      <c r="H159" s="126"/>
      <c r="I159" s="8"/>
      <c r="J159" s="43">
        <f t="shared" si="5"/>
        <v>3681431.6844000015</v>
      </c>
    </row>
    <row r="160" spans="2:10">
      <c r="B160" s="56">
        <v>43046</v>
      </c>
      <c r="C160" s="128">
        <v>742519.29509999999</v>
      </c>
      <c r="D160" s="51"/>
      <c r="E160" s="128">
        <v>741749.1</v>
      </c>
      <c r="F160" s="7"/>
      <c r="G160" s="51">
        <f t="shared" si="8"/>
        <v>770.19510000001173</v>
      </c>
      <c r="H160" s="126"/>
      <c r="I160" s="8"/>
      <c r="J160" s="43">
        <f t="shared" si="5"/>
        <v>2938912.3893000013</v>
      </c>
    </row>
    <row r="161" spans="2:10">
      <c r="B161" s="56">
        <v>43046</v>
      </c>
      <c r="C161" s="128">
        <v>743909.76419999998</v>
      </c>
      <c r="D161" s="51"/>
      <c r="E161" s="128">
        <v>742837.95</v>
      </c>
      <c r="F161" s="7"/>
      <c r="G161" s="51">
        <f t="shared" si="8"/>
        <v>1071.8142000000225</v>
      </c>
      <c r="H161" s="126"/>
      <c r="I161" s="8"/>
      <c r="J161" s="43">
        <f t="shared" si="5"/>
        <v>2195002.6251000017</v>
      </c>
    </row>
    <row r="162" spans="2:10">
      <c r="B162" s="56">
        <v>43049</v>
      </c>
      <c r="C162" s="128">
        <v>-26046</v>
      </c>
      <c r="D162" s="51"/>
      <c r="E162" s="128">
        <v>-26046</v>
      </c>
      <c r="F162" s="7"/>
      <c r="G162" s="51"/>
      <c r="H162" s="126"/>
      <c r="I162" s="8" t="s">
        <v>236</v>
      </c>
      <c r="J162" s="43">
        <f t="shared" si="5"/>
        <v>2221048.6251000017</v>
      </c>
    </row>
    <row r="163" spans="2:10">
      <c r="B163" s="56">
        <v>43052</v>
      </c>
      <c r="C163" s="128">
        <f>-1429334.14+5.32</f>
        <v>-1429328.8199999998</v>
      </c>
      <c r="D163" s="51"/>
      <c r="E163" s="128">
        <v>-1430820</v>
      </c>
      <c r="F163" s="7"/>
      <c r="G163" s="51">
        <f t="shared" si="8"/>
        <v>1491.1800000001676</v>
      </c>
      <c r="H163" s="126"/>
      <c r="I163" s="8"/>
      <c r="J163" s="43">
        <f t="shared" si="5"/>
        <v>3650377.4451000015</v>
      </c>
    </row>
    <row r="164" spans="2:10">
      <c r="B164" s="56">
        <v>43052</v>
      </c>
      <c r="C164" s="128">
        <v>750153.3639</v>
      </c>
      <c r="D164" s="51"/>
      <c r="E164" s="128">
        <v>749375.25</v>
      </c>
      <c r="F164" s="7"/>
      <c r="G164" s="51">
        <f t="shared" si="8"/>
        <v>778.11389999999665</v>
      </c>
      <c r="H164" s="126"/>
      <c r="I164" s="8"/>
      <c r="J164" s="43">
        <f t="shared" si="5"/>
        <v>2900224.0812000018</v>
      </c>
    </row>
    <row r="165" spans="2:10">
      <c r="B165" s="56">
        <v>43052</v>
      </c>
      <c r="C165" s="128">
        <v>749937.63820000004</v>
      </c>
      <c r="D165" s="51"/>
      <c r="E165" s="128">
        <v>749159.75</v>
      </c>
      <c r="F165" s="7"/>
      <c r="G165" s="51">
        <f t="shared" si="8"/>
        <v>777.88820000004489</v>
      </c>
      <c r="H165" s="126"/>
      <c r="I165" s="8"/>
      <c r="J165" s="43">
        <f t="shared" si="5"/>
        <v>2150286.4430000018</v>
      </c>
    </row>
    <row r="166" spans="2:10">
      <c r="B166" s="56">
        <v>43052</v>
      </c>
      <c r="C166" s="128">
        <v>742867.96109999996</v>
      </c>
      <c r="D166" s="51"/>
      <c r="E166" s="128">
        <v>741730.05</v>
      </c>
      <c r="F166" s="7"/>
      <c r="G166" s="51">
        <f t="shared" si="8"/>
        <v>1137.9110999999102</v>
      </c>
      <c r="H166" s="126"/>
      <c r="I166" s="8"/>
      <c r="J166" s="43">
        <f t="shared" si="5"/>
        <v>1407418.4819000019</v>
      </c>
    </row>
    <row r="167" spans="2:10">
      <c r="B167" s="56">
        <v>43053</v>
      </c>
      <c r="C167" s="128">
        <v>-13504</v>
      </c>
      <c r="D167" s="51"/>
      <c r="E167" s="128">
        <v>-13504</v>
      </c>
      <c r="F167" s="7"/>
      <c r="G167" s="51"/>
      <c r="H167" s="126"/>
      <c r="I167" s="8" t="s">
        <v>236</v>
      </c>
      <c r="J167" s="43">
        <f t="shared" si="5"/>
        <v>1420922.4819000019</v>
      </c>
    </row>
    <row r="168" spans="2:10">
      <c r="B168" s="56">
        <v>43053</v>
      </c>
      <c r="C168" s="128">
        <f>-851697.41+5.32</f>
        <v>-851692.09000000008</v>
      </c>
      <c r="D168" s="51"/>
      <c r="E168" s="128">
        <v>-862919.5</v>
      </c>
      <c r="F168" s="7"/>
      <c r="G168" s="51">
        <f t="shared" si="8"/>
        <v>11227.409999999916</v>
      </c>
      <c r="H168" s="126"/>
      <c r="I168" s="8" t="s">
        <v>113</v>
      </c>
      <c r="J168" s="43">
        <f t="shared" si="5"/>
        <v>2272614.5719000017</v>
      </c>
    </row>
    <row r="169" spans="2:10">
      <c r="B169" s="56">
        <v>43054</v>
      </c>
      <c r="C169" s="128">
        <v>750376.99549999996</v>
      </c>
      <c r="D169" s="51"/>
      <c r="E169" s="128">
        <v>749598.65</v>
      </c>
      <c r="F169" s="7"/>
      <c r="G169" s="51">
        <f t="shared" si="8"/>
        <v>778.3454999999376</v>
      </c>
      <c r="H169" s="126"/>
      <c r="I169" s="8"/>
      <c r="J169" s="43">
        <f t="shared" si="5"/>
        <v>1522237.576400002</v>
      </c>
    </row>
    <row r="170" spans="2:10">
      <c r="B170" s="56">
        <v>43054</v>
      </c>
      <c r="C170" s="128">
        <v>-10000000</v>
      </c>
      <c r="D170" s="51"/>
      <c r="E170" s="128">
        <v>-10000000</v>
      </c>
      <c r="F170" s="7"/>
      <c r="G170" s="51">
        <f t="shared" si="8"/>
        <v>0</v>
      </c>
      <c r="H170" s="126"/>
      <c r="I170" s="8"/>
      <c r="J170" s="43">
        <f t="shared" si="5"/>
        <v>11522237.576400002</v>
      </c>
    </row>
    <row r="171" spans="2:10">
      <c r="B171" s="56">
        <v>43054</v>
      </c>
      <c r="C171" s="128">
        <v>751211.16240000003</v>
      </c>
      <c r="D171" s="51"/>
      <c r="E171" s="128">
        <v>750431.95</v>
      </c>
      <c r="F171" s="7"/>
      <c r="G171" s="51">
        <f t="shared" si="8"/>
        <v>779.21240000007674</v>
      </c>
      <c r="H171" s="126"/>
      <c r="I171" s="8"/>
      <c r="J171" s="43">
        <f t="shared" si="5"/>
        <v>10771026.414000003</v>
      </c>
    </row>
    <row r="172" spans="2:10">
      <c r="B172" s="56">
        <v>43054</v>
      </c>
      <c r="C172" s="128">
        <v>1001002.3125999999</v>
      </c>
      <c r="D172" s="51"/>
      <c r="E172" s="128">
        <v>999964</v>
      </c>
      <c r="F172" s="7"/>
      <c r="G172" s="51">
        <f t="shared" si="8"/>
        <v>1038.3125999999465</v>
      </c>
      <c r="H172" s="126"/>
      <c r="I172" s="8"/>
      <c r="J172" s="43">
        <f t="shared" si="5"/>
        <v>9770024.1014000028</v>
      </c>
    </row>
    <row r="173" spans="2:10">
      <c r="B173" s="56">
        <v>43054</v>
      </c>
      <c r="C173" s="128">
        <v>1501899.8769</v>
      </c>
      <c r="D173" s="51"/>
      <c r="E173" s="128">
        <v>1499518.55</v>
      </c>
      <c r="F173" s="7"/>
      <c r="G173" s="51">
        <f t="shared" si="8"/>
        <v>2381.3268999999855</v>
      </c>
      <c r="H173" s="126"/>
      <c r="I173" s="8"/>
      <c r="J173" s="43">
        <f t="shared" si="5"/>
        <v>8268124.2245000033</v>
      </c>
    </row>
    <row r="174" spans="2:10">
      <c r="B174" s="56">
        <v>43054</v>
      </c>
      <c r="C174" s="128">
        <v>997391.36640000006</v>
      </c>
      <c r="D174" s="51"/>
      <c r="E174" s="128">
        <v>996356.8</v>
      </c>
      <c r="F174" s="7"/>
      <c r="G174" s="51">
        <f t="shared" si="8"/>
        <v>1034.5664000000106</v>
      </c>
      <c r="H174" s="126"/>
      <c r="I174" s="8"/>
      <c r="J174" s="43">
        <f t="shared" si="5"/>
        <v>7270732.8581000036</v>
      </c>
    </row>
    <row r="175" spans="2:10">
      <c r="B175" s="56">
        <v>43054</v>
      </c>
      <c r="C175" s="128">
        <v>747601.71719999996</v>
      </c>
      <c r="D175" s="51"/>
      <c r="E175" s="128">
        <v>746826.25</v>
      </c>
      <c r="F175" s="7"/>
      <c r="G175" s="51">
        <f t="shared" si="8"/>
        <v>775.46719999995548</v>
      </c>
      <c r="H175" s="126"/>
      <c r="I175" s="8"/>
      <c r="J175" s="43">
        <f t="shared" ref="J175:J223" si="9">J174-E175-F175-G175-H175-D175</f>
        <v>6523131.1409000037</v>
      </c>
    </row>
    <row r="176" spans="2:10">
      <c r="B176" s="56">
        <v>43054</v>
      </c>
      <c r="C176" s="128">
        <v>997859.15220000001</v>
      </c>
      <c r="D176" s="51"/>
      <c r="E176" s="128">
        <v>996824.1</v>
      </c>
      <c r="F176" s="7"/>
      <c r="G176" s="51">
        <f t="shared" si="8"/>
        <v>1035.0522000000346</v>
      </c>
      <c r="H176" s="126"/>
      <c r="I176" s="8"/>
      <c r="J176" s="43">
        <f t="shared" si="9"/>
        <v>5525271.9887000043</v>
      </c>
    </row>
    <row r="177" spans="2:10">
      <c r="B177" s="56">
        <v>43054</v>
      </c>
      <c r="C177" s="128">
        <v>749150.52359999996</v>
      </c>
      <c r="D177" s="51"/>
      <c r="E177" s="128">
        <v>748373.45</v>
      </c>
      <c r="F177" s="7"/>
      <c r="G177" s="51">
        <f t="shared" si="8"/>
        <v>777.07360000000335</v>
      </c>
      <c r="H177" s="126"/>
      <c r="I177" s="8"/>
      <c r="J177" s="43">
        <f t="shared" si="9"/>
        <v>4776121.4651000043</v>
      </c>
    </row>
    <row r="178" spans="2:10">
      <c r="B178" s="56">
        <v>43054</v>
      </c>
      <c r="C178" s="128">
        <v>749582.17099999997</v>
      </c>
      <c r="D178" s="51"/>
      <c r="E178" s="128">
        <v>748804.65</v>
      </c>
      <c r="F178" s="7"/>
      <c r="G178" s="51">
        <f t="shared" si="8"/>
        <v>777.52099999994971</v>
      </c>
      <c r="H178" s="126"/>
      <c r="I178" s="8"/>
      <c r="J178" s="43">
        <f t="shared" si="9"/>
        <v>4026539.2941000042</v>
      </c>
    </row>
    <row r="179" spans="2:10">
      <c r="B179" s="56">
        <v>43055</v>
      </c>
      <c r="C179" s="128">
        <v>748773.7317</v>
      </c>
      <c r="D179" s="51"/>
      <c r="E179" s="128">
        <v>747922.05</v>
      </c>
      <c r="F179" s="7"/>
      <c r="G179" s="51">
        <f t="shared" si="8"/>
        <v>851.68169999995735</v>
      </c>
      <c r="H179" s="126"/>
      <c r="I179" s="8"/>
      <c r="J179" s="43">
        <f t="shared" si="9"/>
        <v>3277765.5624000044</v>
      </c>
    </row>
    <row r="180" spans="2:10">
      <c r="B180" s="56">
        <v>43056</v>
      </c>
      <c r="C180" s="128">
        <v>499153.75880000001</v>
      </c>
      <c r="D180" s="51"/>
      <c r="E180" s="128">
        <v>498636</v>
      </c>
      <c r="F180" s="7"/>
      <c r="G180" s="51">
        <f t="shared" si="8"/>
        <v>517.75880000001052</v>
      </c>
      <c r="H180" s="126"/>
      <c r="I180" s="8"/>
      <c r="J180" s="43">
        <f t="shared" si="9"/>
        <v>2778611.8036000044</v>
      </c>
    </row>
    <row r="181" spans="2:10">
      <c r="B181" s="56">
        <v>43056</v>
      </c>
      <c r="C181" s="128">
        <v>498993.49280000001</v>
      </c>
      <c r="D181" s="51"/>
      <c r="E181" s="128">
        <v>498475.9</v>
      </c>
      <c r="F181" s="7"/>
      <c r="G181" s="51">
        <f t="shared" si="8"/>
        <v>517.59279999998398</v>
      </c>
      <c r="H181" s="126"/>
      <c r="I181" s="8"/>
      <c r="J181" s="43">
        <f t="shared" si="9"/>
        <v>2279618.3108000048</v>
      </c>
    </row>
    <row r="182" spans="2:10">
      <c r="B182" s="56">
        <v>43056</v>
      </c>
      <c r="C182" s="128">
        <v>503867.5981</v>
      </c>
      <c r="D182" s="51"/>
      <c r="E182" s="128">
        <v>503344.95</v>
      </c>
      <c r="F182" s="7"/>
      <c r="G182" s="51">
        <f t="shared" si="8"/>
        <v>522.64809999999125</v>
      </c>
      <c r="H182" s="126"/>
      <c r="I182" s="8"/>
      <c r="J182" s="43">
        <f t="shared" si="9"/>
        <v>1775750.7127000047</v>
      </c>
    </row>
    <row r="183" spans="2:10">
      <c r="B183" s="56">
        <v>43056</v>
      </c>
      <c r="C183" s="128">
        <v>499907.58240000001</v>
      </c>
      <c r="D183" s="51"/>
      <c r="E183" s="128">
        <v>499139.45</v>
      </c>
      <c r="F183" s="7"/>
      <c r="G183" s="51">
        <f t="shared" si="8"/>
        <v>768.13240000000224</v>
      </c>
      <c r="H183" s="126"/>
      <c r="I183" s="8"/>
      <c r="J183" s="43">
        <f t="shared" si="9"/>
        <v>1275843.1303000047</v>
      </c>
    </row>
    <row r="184" spans="2:10">
      <c r="B184" s="56">
        <v>43056</v>
      </c>
      <c r="C184" s="128">
        <v>498069.73440000002</v>
      </c>
      <c r="D184" s="51"/>
      <c r="E184" s="128">
        <v>497553.1</v>
      </c>
      <c r="F184" s="7"/>
      <c r="G184" s="51">
        <f t="shared" si="8"/>
        <v>516.63440000003902</v>
      </c>
      <c r="H184" s="126"/>
      <c r="I184" s="8"/>
      <c r="J184" s="43">
        <f t="shared" si="9"/>
        <v>777773.39590000478</v>
      </c>
    </row>
    <row r="185" spans="2:10">
      <c r="B185" s="56">
        <v>43061</v>
      </c>
      <c r="C185" s="128">
        <f>-1620166.0904+5.32</f>
        <v>-1620160.7704</v>
      </c>
      <c r="D185" s="51"/>
      <c r="E185" s="128">
        <v>-1622126.5</v>
      </c>
      <c r="F185" s="7"/>
      <c r="G185" s="51">
        <f t="shared" si="8"/>
        <v>1965.7295999999624</v>
      </c>
      <c r="H185" s="126"/>
      <c r="I185" s="8" t="s">
        <v>113</v>
      </c>
      <c r="J185" s="43">
        <f t="shared" si="9"/>
        <v>2397934.1663000043</v>
      </c>
    </row>
    <row r="186" spans="2:10">
      <c r="B186" s="56">
        <v>43061</v>
      </c>
      <c r="C186" s="128">
        <f>-684193.5289+5.32</f>
        <v>-684188.20890000009</v>
      </c>
      <c r="D186" s="51"/>
      <c r="E186" s="128">
        <v>-684904.7</v>
      </c>
      <c r="F186" s="7"/>
      <c r="G186" s="51">
        <f t="shared" si="8"/>
        <v>716.49109999986831</v>
      </c>
      <c r="H186" s="126"/>
      <c r="I186" s="8" t="s">
        <v>113</v>
      </c>
      <c r="J186" s="43">
        <f t="shared" si="9"/>
        <v>3082122.3752000048</v>
      </c>
    </row>
    <row r="187" spans="2:10">
      <c r="B187" s="56">
        <v>43061</v>
      </c>
      <c r="C187" s="128">
        <f>-893865.462+63273+5.32</f>
        <v>-830587.14200000011</v>
      </c>
      <c r="D187" s="51"/>
      <c r="E187" s="128">
        <v>-894232.65</v>
      </c>
      <c r="F187" s="7"/>
      <c r="G187" s="51">
        <f t="shared" si="8"/>
        <v>63645.507999999914</v>
      </c>
      <c r="H187" s="126"/>
      <c r="I187" s="8" t="s">
        <v>113</v>
      </c>
      <c r="J187" s="43">
        <f t="shared" si="9"/>
        <v>3912709.5172000048</v>
      </c>
    </row>
    <row r="188" spans="2:10">
      <c r="B188" s="56">
        <v>43061</v>
      </c>
      <c r="C188" s="128">
        <v>747704.72329999995</v>
      </c>
      <c r="D188" s="51"/>
      <c r="E188" s="128">
        <v>747676.05</v>
      </c>
      <c r="F188" s="7"/>
      <c r="G188" s="51">
        <f t="shared" si="8"/>
        <v>28.673299999907613</v>
      </c>
      <c r="H188" s="126"/>
      <c r="I188" s="8"/>
      <c r="J188" s="43">
        <f t="shared" si="9"/>
        <v>3165004.7939000046</v>
      </c>
    </row>
    <row r="189" spans="2:10">
      <c r="B189" s="56">
        <v>43062</v>
      </c>
      <c r="C189" s="128">
        <v>750464.80759999994</v>
      </c>
      <c r="D189" s="51"/>
      <c r="E189" s="128">
        <v>749611.05</v>
      </c>
      <c r="F189" s="7"/>
      <c r="G189" s="51">
        <f t="shared" si="8"/>
        <v>853.75759999989532</v>
      </c>
      <c r="H189" s="126"/>
      <c r="I189" s="8"/>
      <c r="J189" s="43">
        <f t="shared" si="9"/>
        <v>2414539.9863000046</v>
      </c>
    </row>
    <row r="190" spans="2:10">
      <c r="B190" s="56">
        <v>43066</v>
      </c>
      <c r="C190" s="128">
        <v>750210.93830000004</v>
      </c>
      <c r="D190" s="51"/>
      <c r="E190" s="128">
        <v>749358.2</v>
      </c>
      <c r="F190" s="7"/>
      <c r="G190" s="51">
        <f t="shared" si="8"/>
        <v>852.73830000008456</v>
      </c>
      <c r="H190" s="126"/>
      <c r="I190" s="8"/>
      <c r="J190" s="43">
        <f t="shared" si="9"/>
        <v>1664329.0480000046</v>
      </c>
    </row>
    <row r="191" spans="2:10">
      <c r="B191" s="56">
        <v>43067</v>
      </c>
      <c r="C191" s="128">
        <v>748610.87670000002</v>
      </c>
      <c r="D191" s="51"/>
      <c r="E191" s="128">
        <v>747759.2</v>
      </c>
      <c r="F191" s="7"/>
      <c r="G191" s="51">
        <f t="shared" si="8"/>
        <v>851.6767000000691</v>
      </c>
      <c r="H191" s="126"/>
      <c r="I191" s="8"/>
      <c r="J191" s="43">
        <f t="shared" si="9"/>
        <v>915718.17130000459</v>
      </c>
    </row>
    <row r="192" spans="2:10">
      <c r="B192" s="56">
        <v>43068</v>
      </c>
      <c r="C192" s="128">
        <v>748002.20330000005</v>
      </c>
      <c r="D192" s="51"/>
      <c r="E192" s="128">
        <v>747151.55</v>
      </c>
      <c r="F192" s="7"/>
      <c r="G192" s="51">
        <f t="shared" si="8"/>
        <v>850.6533000000054</v>
      </c>
      <c r="H192" s="126"/>
      <c r="I192" s="8"/>
      <c r="J192" s="43">
        <f t="shared" si="9"/>
        <v>167715.96800000453</v>
      </c>
    </row>
    <row r="193" spans="2:10">
      <c r="B193" s="56">
        <v>43069</v>
      </c>
      <c r="C193" s="128">
        <v>-3186</v>
      </c>
      <c r="D193" s="51"/>
      <c r="E193" s="128">
        <f>C193</f>
        <v>-3186</v>
      </c>
      <c r="F193" s="7"/>
      <c r="G193" s="51"/>
      <c r="H193" s="126"/>
      <c r="I193" s="8" t="s">
        <v>125</v>
      </c>
      <c r="J193" s="43">
        <f t="shared" si="9"/>
        <v>170901.96800000453</v>
      </c>
    </row>
    <row r="194" spans="2:10">
      <c r="B194" s="56">
        <v>43073</v>
      </c>
      <c r="C194" s="128">
        <f>-763632.3+5.32</f>
        <v>-763626.9800000001</v>
      </c>
      <c r="D194" s="51"/>
      <c r="E194" s="128">
        <v>-768040.75</v>
      </c>
      <c r="F194" s="7"/>
      <c r="G194" s="51">
        <f t="shared" si="8"/>
        <v>4413.7699999999022</v>
      </c>
      <c r="H194" s="126"/>
      <c r="I194" s="8" t="s">
        <v>113</v>
      </c>
      <c r="J194" s="43">
        <f t="shared" si="9"/>
        <v>934528.94800000463</v>
      </c>
    </row>
    <row r="195" spans="2:10">
      <c r="B195" s="56">
        <v>43073</v>
      </c>
      <c r="C195" s="128">
        <v>752315.61580000003</v>
      </c>
      <c r="D195" s="51"/>
      <c r="E195" s="128">
        <v>751383.8</v>
      </c>
      <c r="F195" s="7"/>
      <c r="G195" s="51">
        <f t="shared" si="8"/>
        <v>931.81579999998212</v>
      </c>
      <c r="H195" s="126"/>
      <c r="I195" s="8"/>
      <c r="J195" s="43">
        <f t="shared" si="9"/>
        <v>182213.3322000046</v>
      </c>
    </row>
    <row r="196" spans="2:10">
      <c r="B196" s="56">
        <v>43080</v>
      </c>
      <c r="C196" s="128">
        <v>-10000000</v>
      </c>
      <c r="D196" s="51"/>
      <c r="E196" s="128">
        <v>-10000000</v>
      </c>
      <c r="F196" s="7"/>
      <c r="G196" s="51"/>
      <c r="H196" s="126"/>
      <c r="I196" s="8"/>
      <c r="J196" s="43">
        <f t="shared" si="9"/>
        <v>10182213.332200004</v>
      </c>
    </row>
    <row r="197" spans="2:10">
      <c r="B197" s="56">
        <v>43081</v>
      </c>
      <c r="C197" s="128">
        <v>754391.25150000001</v>
      </c>
      <c r="D197" s="51"/>
      <c r="E197" s="128">
        <v>753608.35</v>
      </c>
      <c r="F197" s="7"/>
      <c r="G197" s="51">
        <f t="shared" si="8"/>
        <v>782.90150000003632</v>
      </c>
      <c r="H197" s="126"/>
      <c r="I197" s="8"/>
      <c r="J197" s="43">
        <f t="shared" si="9"/>
        <v>9427822.0807000045</v>
      </c>
    </row>
    <row r="198" spans="2:10">
      <c r="B198" s="56">
        <v>43081</v>
      </c>
      <c r="C198" s="128">
        <f>-753869.603+5.32+888</f>
        <v>-752976.28300000005</v>
      </c>
      <c r="D198" s="51"/>
      <c r="E198" s="128">
        <v>-754804.55</v>
      </c>
      <c r="F198" s="7"/>
      <c r="G198" s="51">
        <f t="shared" si="8"/>
        <v>1828.2669999999925</v>
      </c>
      <c r="H198" s="126"/>
      <c r="I198" s="8" t="s">
        <v>113</v>
      </c>
      <c r="J198" s="43">
        <f t="shared" si="9"/>
        <v>10180798.363700006</v>
      </c>
    </row>
    <row r="199" spans="2:10">
      <c r="B199" s="56">
        <v>43082</v>
      </c>
      <c r="C199" s="128">
        <f>-811537.32+5.32</f>
        <v>-811532</v>
      </c>
      <c r="D199" s="51"/>
      <c r="E199" s="128">
        <v>-825979</v>
      </c>
      <c r="F199" s="7"/>
      <c r="G199" s="51">
        <f t="shared" si="8"/>
        <v>14447</v>
      </c>
      <c r="H199" s="126"/>
      <c r="I199" s="8" t="s">
        <v>113</v>
      </c>
      <c r="J199" s="43">
        <f t="shared" si="9"/>
        <v>10992330.363700006</v>
      </c>
    </row>
    <row r="200" spans="2:10">
      <c r="B200" s="56">
        <v>43087</v>
      </c>
      <c r="C200" s="128">
        <v>749673.76780000003</v>
      </c>
      <c r="D200" s="51"/>
      <c r="E200" s="128">
        <v>748821.05</v>
      </c>
      <c r="F200" s="7"/>
      <c r="G200" s="51">
        <f t="shared" si="8"/>
        <v>852.71779999998398</v>
      </c>
      <c r="H200" s="126"/>
      <c r="I200" s="8"/>
      <c r="J200" s="43">
        <f t="shared" si="9"/>
        <v>10242656.595900005</v>
      </c>
    </row>
    <row r="201" spans="2:10">
      <c r="B201" s="56">
        <v>43088</v>
      </c>
      <c r="C201" s="128">
        <f>-818013.22+5.32</f>
        <v>-818007.9</v>
      </c>
      <c r="D201" s="51"/>
      <c r="E201" s="128">
        <v>-833821.2</v>
      </c>
      <c r="F201" s="7"/>
      <c r="G201" s="51">
        <f t="shared" si="8"/>
        <v>15813.29999999993</v>
      </c>
      <c r="H201" s="126"/>
      <c r="I201" s="8" t="s">
        <v>113</v>
      </c>
      <c r="J201" s="43">
        <f t="shared" si="9"/>
        <v>11060664.495900003</v>
      </c>
    </row>
    <row r="202" spans="2:10">
      <c r="B202" s="56">
        <v>43088</v>
      </c>
      <c r="C202" s="128">
        <v>744335.47690000001</v>
      </c>
      <c r="D202" s="51"/>
      <c r="E202" s="128">
        <v>743563.4</v>
      </c>
      <c r="F202" s="7"/>
      <c r="G202" s="51">
        <f t="shared" si="8"/>
        <v>772.07689999998547</v>
      </c>
      <c r="H202" s="126"/>
      <c r="I202" s="8"/>
      <c r="J202" s="43">
        <f t="shared" si="9"/>
        <v>10316329.019000003</v>
      </c>
    </row>
    <row r="203" spans="2:10">
      <c r="B203" s="56">
        <v>43088</v>
      </c>
      <c r="C203" s="128">
        <v>998710.73640000005</v>
      </c>
      <c r="D203" s="51"/>
      <c r="E203" s="128">
        <v>997674.8</v>
      </c>
      <c r="F203" s="7"/>
      <c r="G203" s="51">
        <f t="shared" si="8"/>
        <v>1035.936400000006</v>
      </c>
      <c r="H203" s="126"/>
      <c r="I203" s="8"/>
      <c r="J203" s="43">
        <f t="shared" si="9"/>
        <v>9317618.2826000024</v>
      </c>
    </row>
    <row r="204" spans="2:10">
      <c r="B204" s="56">
        <v>43088</v>
      </c>
      <c r="C204" s="128">
        <v>750778.01179999998</v>
      </c>
      <c r="D204" s="51"/>
      <c r="E204" s="128">
        <v>749999.25</v>
      </c>
      <c r="F204" s="7"/>
      <c r="G204" s="51">
        <f t="shared" si="8"/>
        <v>778.76179999997839</v>
      </c>
      <c r="H204" s="126"/>
      <c r="I204" s="8"/>
      <c r="J204" s="43">
        <f t="shared" si="9"/>
        <v>8566840.2708000019</v>
      </c>
    </row>
    <row r="205" spans="2:10">
      <c r="B205" s="56">
        <v>43088</v>
      </c>
      <c r="C205" s="128">
        <v>1001205.4392</v>
      </c>
      <c r="D205" s="51"/>
      <c r="E205" s="128">
        <v>999012.4</v>
      </c>
      <c r="F205" s="7"/>
      <c r="G205" s="51">
        <f t="shared" si="8"/>
        <v>2193.0391999999993</v>
      </c>
      <c r="H205" s="126"/>
      <c r="I205" s="8"/>
      <c r="J205" s="43">
        <f t="shared" si="9"/>
        <v>7565634.8316000011</v>
      </c>
    </row>
    <row r="206" spans="2:10">
      <c r="B206" s="56">
        <v>43088</v>
      </c>
      <c r="C206" s="128">
        <v>1000965.8244</v>
      </c>
      <c r="D206" s="51"/>
      <c r="E206" s="128">
        <v>999927.55</v>
      </c>
      <c r="F206" s="7"/>
      <c r="G206" s="51">
        <f t="shared" si="8"/>
        <v>1038.2743999999948</v>
      </c>
      <c r="H206" s="126"/>
      <c r="I206" s="8"/>
      <c r="J206" s="43">
        <f t="shared" si="9"/>
        <v>6564669.0072000008</v>
      </c>
    </row>
    <row r="207" spans="2:10">
      <c r="B207" s="56">
        <v>43088</v>
      </c>
      <c r="C207" s="128">
        <v>500582.59090000001</v>
      </c>
      <c r="D207" s="51"/>
      <c r="E207" s="128">
        <v>500063.35</v>
      </c>
      <c r="F207" s="7"/>
      <c r="G207" s="51">
        <f t="shared" si="8"/>
        <v>519.24090000003343</v>
      </c>
      <c r="H207" s="126"/>
      <c r="I207" s="8"/>
      <c r="J207" s="43">
        <f t="shared" si="9"/>
        <v>6064086.4163000016</v>
      </c>
    </row>
    <row r="208" spans="2:10">
      <c r="B208" s="56">
        <v>43088</v>
      </c>
      <c r="C208" s="128">
        <v>747357.21360000002</v>
      </c>
      <c r="D208" s="51"/>
      <c r="E208" s="128">
        <v>746582</v>
      </c>
      <c r="F208" s="7"/>
      <c r="G208" s="51">
        <f t="shared" si="8"/>
        <v>775.21360000001732</v>
      </c>
      <c r="H208" s="126"/>
      <c r="I208" s="8"/>
      <c r="J208" s="43">
        <f t="shared" si="9"/>
        <v>5316729.2027000012</v>
      </c>
    </row>
    <row r="209" spans="2:12">
      <c r="B209" s="56">
        <v>43088</v>
      </c>
      <c r="C209" s="128">
        <v>996246.48010000004</v>
      </c>
      <c r="D209" s="51"/>
      <c r="E209" s="128">
        <v>995213.1</v>
      </c>
      <c r="F209" s="7"/>
      <c r="G209" s="51">
        <f t="shared" si="8"/>
        <v>1033.3801000000676</v>
      </c>
      <c r="H209" s="126"/>
      <c r="I209" s="8"/>
      <c r="J209" s="43">
        <f t="shared" si="9"/>
        <v>4320482.7226000018</v>
      </c>
    </row>
    <row r="210" spans="2:12">
      <c r="B210" s="56">
        <v>43088</v>
      </c>
      <c r="C210" s="128">
        <v>749589.17850000004</v>
      </c>
      <c r="D210" s="51"/>
      <c r="E210" s="128">
        <v>748811.65</v>
      </c>
      <c r="F210" s="7"/>
      <c r="G210" s="51">
        <f t="shared" si="8"/>
        <v>777.5285000000149</v>
      </c>
      <c r="H210" s="126"/>
      <c r="I210" s="8"/>
      <c r="J210" s="43">
        <f t="shared" si="9"/>
        <v>3570893.5441000019</v>
      </c>
    </row>
    <row r="211" spans="2:12">
      <c r="B211" s="56">
        <v>43088</v>
      </c>
      <c r="C211" s="128">
        <v>996914.77269999997</v>
      </c>
      <c r="D211" s="51"/>
      <c r="E211" s="128">
        <v>995880.7</v>
      </c>
      <c r="F211" s="7"/>
      <c r="G211" s="51">
        <f t="shared" si="8"/>
        <v>1034.0727000000188</v>
      </c>
      <c r="H211" s="126"/>
      <c r="I211" s="8"/>
      <c r="J211" s="43">
        <f t="shared" si="9"/>
        <v>2573978.7714000023</v>
      </c>
    </row>
    <row r="212" spans="2:12">
      <c r="B212" s="56">
        <v>43088</v>
      </c>
      <c r="C212" s="128">
        <v>998943.37690000003</v>
      </c>
      <c r="D212" s="51"/>
      <c r="E212" s="128">
        <v>997907.2</v>
      </c>
      <c r="F212" s="7"/>
      <c r="G212" s="51">
        <f t="shared" si="8"/>
        <v>1036.1769000000786</v>
      </c>
      <c r="H212" s="126"/>
      <c r="I212" s="8"/>
      <c r="J212" s="43">
        <f t="shared" si="9"/>
        <v>1575035.3945000023</v>
      </c>
    </row>
    <row r="213" spans="2:12">
      <c r="B213" s="56">
        <v>43088</v>
      </c>
      <c r="C213" s="128">
        <v>498693.53149999998</v>
      </c>
      <c r="D213" s="51"/>
      <c r="E213" s="128">
        <v>498176.25</v>
      </c>
      <c r="F213" s="7"/>
      <c r="G213" s="51">
        <f t="shared" si="8"/>
        <v>517.28149999998277</v>
      </c>
      <c r="H213" s="126"/>
      <c r="I213" s="8"/>
      <c r="J213" s="43">
        <f t="shared" si="9"/>
        <v>1076341.8630000022</v>
      </c>
    </row>
    <row r="214" spans="2:12">
      <c r="B214" s="56">
        <v>43088</v>
      </c>
      <c r="C214" s="128">
        <v>748251.34080000001</v>
      </c>
      <c r="D214" s="51"/>
      <c r="E214" s="128">
        <v>747475.2</v>
      </c>
      <c r="F214" s="7"/>
      <c r="G214" s="51">
        <f t="shared" si="8"/>
        <v>776.14080000005197</v>
      </c>
      <c r="H214" s="126"/>
      <c r="I214" s="8"/>
      <c r="J214" s="43">
        <f t="shared" si="9"/>
        <v>328090.52220000222</v>
      </c>
    </row>
    <row r="215" spans="2:12">
      <c r="B215" s="56">
        <v>43089</v>
      </c>
      <c r="C215" s="128">
        <f>-775241.25+5.32</f>
        <v>-775235.93</v>
      </c>
      <c r="D215" s="51"/>
      <c r="E215" s="128">
        <v>-782270.25</v>
      </c>
      <c r="F215" s="7"/>
      <c r="G215" s="51">
        <f t="shared" si="8"/>
        <v>7034.3199999999488</v>
      </c>
      <c r="H215" s="126"/>
      <c r="I215" s="8" t="s">
        <v>113</v>
      </c>
      <c r="J215" s="43">
        <f t="shared" si="9"/>
        <v>1103326.4522000025</v>
      </c>
    </row>
    <row r="216" spans="2:12">
      <c r="B216" s="56">
        <v>43089</v>
      </c>
      <c r="C216" s="128">
        <v>751825.14610000001</v>
      </c>
      <c r="D216" s="51"/>
      <c r="E216" s="128">
        <v>750891.35</v>
      </c>
      <c r="F216" s="7"/>
      <c r="G216" s="51">
        <f t="shared" si="8"/>
        <v>933.79610000003595</v>
      </c>
      <c r="H216" s="126"/>
      <c r="I216" s="8"/>
      <c r="J216" s="43">
        <f t="shared" si="9"/>
        <v>351501.30610000249</v>
      </c>
    </row>
    <row r="217" spans="2:12">
      <c r="B217" s="56">
        <v>43090</v>
      </c>
      <c r="C217" s="128">
        <f>-753531.2683+5.32+829.9983</f>
        <v>-752695.95000000007</v>
      </c>
      <c r="D217" s="51"/>
      <c r="E217" s="128">
        <v>-754390.2</v>
      </c>
      <c r="F217" s="7"/>
      <c r="G217" s="51">
        <f t="shared" si="8"/>
        <v>1694.2499999998836</v>
      </c>
      <c r="H217" s="126"/>
      <c r="I217" s="8" t="s">
        <v>113</v>
      </c>
      <c r="J217" s="43">
        <f t="shared" si="9"/>
        <v>1104197.2561000027</v>
      </c>
    </row>
    <row r="218" spans="2:12">
      <c r="B218" s="56">
        <v>43091</v>
      </c>
      <c r="C218" s="128">
        <v>749435.60789999994</v>
      </c>
      <c r="D218" s="51"/>
      <c r="E218" s="128">
        <v>748582.9</v>
      </c>
      <c r="F218" s="7"/>
      <c r="G218" s="51">
        <f t="shared" si="8"/>
        <v>852.70789999992121</v>
      </c>
      <c r="H218" s="126"/>
      <c r="I218" s="8"/>
      <c r="J218" s="43">
        <f t="shared" si="9"/>
        <v>354761.64820000273</v>
      </c>
    </row>
    <row r="219" spans="2:12">
      <c r="B219" s="56">
        <v>43091</v>
      </c>
      <c r="C219" s="128">
        <v>-3663</v>
      </c>
      <c r="D219" s="51"/>
      <c r="E219" s="128">
        <v>-3663</v>
      </c>
      <c r="F219" s="7"/>
      <c r="G219" s="51"/>
      <c r="H219" s="126"/>
      <c r="I219" s="8" t="s">
        <v>125</v>
      </c>
      <c r="J219" s="43">
        <f t="shared" si="9"/>
        <v>358424.64820000273</v>
      </c>
    </row>
    <row r="220" spans="2:12">
      <c r="B220" s="56">
        <v>43095</v>
      </c>
      <c r="C220" s="128">
        <f>-972133.8202+5.32</f>
        <v>-972128.50020000001</v>
      </c>
      <c r="D220" s="51"/>
      <c r="E220" s="128">
        <v>-973407.7</v>
      </c>
      <c r="F220" s="7"/>
      <c r="G220" s="51">
        <f t="shared" si="8"/>
        <v>1279.1997999999439</v>
      </c>
      <c r="H220" s="126"/>
      <c r="I220" s="8" t="s">
        <v>56</v>
      </c>
      <c r="J220" s="43">
        <f t="shared" si="9"/>
        <v>1330553.1484000026</v>
      </c>
    </row>
    <row r="221" spans="2:12">
      <c r="B221" s="56">
        <v>43095</v>
      </c>
      <c r="C221" s="128">
        <f>-1650734.329+15387+5.32</f>
        <v>-1635342.0089999998</v>
      </c>
      <c r="D221" s="51"/>
      <c r="E221" s="128">
        <v>-1652450.15</v>
      </c>
      <c r="F221" s="7"/>
      <c r="G221" s="51">
        <f t="shared" si="8"/>
        <v>17108.141000000061</v>
      </c>
      <c r="H221" s="126"/>
      <c r="I221" s="8" t="s">
        <v>113</v>
      </c>
      <c r="J221" s="43">
        <f t="shared" si="9"/>
        <v>2965895.1574000027</v>
      </c>
      <c r="L221" s="14"/>
    </row>
    <row r="222" spans="2:12">
      <c r="B222" s="56">
        <v>43096</v>
      </c>
      <c r="C222" s="128">
        <v>749143.39760000003</v>
      </c>
      <c r="D222" s="51"/>
      <c r="E222" s="128">
        <v>748291.7</v>
      </c>
      <c r="F222" s="7"/>
      <c r="G222" s="51">
        <f t="shared" si="8"/>
        <v>851.69760000007227</v>
      </c>
      <c r="H222" s="126"/>
      <c r="I222" s="8"/>
      <c r="J222" s="43">
        <f t="shared" si="9"/>
        <v>2216751.7598000024</v>
      </c>
      <c r="L222" s="14"/>
    </row>
    <row r="223" spans="2:12">
      <c r="B223" s="56">
        <v>43097</v>
      </c>
      <c r="C223" s="128">
        <f>-857995.5577+5.32+19364.9977</f>
        <v>-838625.24000000011</v>
      </c>
      <c r="D223" s="51"/>
      <c r="E223" s="128">
        <v>-858973.5</v>
      </c>
      <c r="F223" s="7"/>
      <c r="G223" s="51">
        <f t="shared" si="8"/>
        <v>20348.259999999893</v>
      </c>
      <c r="H223" s="126"/>
      <c r="I223" s="8"/>
      <c r="J223" s="43">
        <f t="shared" si="9"/>
        <v>3055376.9998000027</v>
      </c>
      <c r="K223" s="14"/>
      <c r="L223" s="14"/>
    </row>
    <row r="224" spans="2:12">
      <c r="B224" s="56"/>
      <c r="C224" s="128"/>
      <c r="D224" s="51"/>
      <c r="E224" s="127"/>
      <c r="F224" s="7"/>
      <c r="G224" s="51"/>
      <c r="H224" s="126"/>
      <c r="I224" s="8"/>
      <c r="J224" s="43"/>
      <c r="L224" s="14"/>
    </row>
    <row r="225" spans="2:10" ht="15.75" thickBot="1">
      <c r="B225" s="9"/>
      <c r="C225" s="159"/>
      <c r="D225" s="164"/>
      <c r="E225" s="128"/>
      <c r="F225" s="7"/>
      <c r="G225" s="51"/>
      <c r="H225" s="126"/>
      <c r="I225" s="8"/>
      <c r="J225" s="43"/>
    </row>
    <row r="226" spans="2:10" ht="15.75" thickBot="1">
      <c r="B226" s="10" t="s">
        <v>1</v>
      </c>
      <c r="C226" s="129">
        <f>SUM(C8:C225)</f>
        <v>16944623.000199992</v>
      </c>
      <c r="D226" s="158"/>
      <c r="E226" s="130">
        <f>SUM(E8:E225)</f>
        <v>11743165.649999997</v>
      </c>
      <c r="F226" s="130">
        <f>SUM(F8:F225)</f>
        <v>3500000.01</v>
      </c>
      <c r="G226" s="131">
        <f>SUM(G8:G225)</f>
        <v>1566207.3401999995</v>
      </c>
      <c r="H226" s="130">
        <f>SUM(H8:H225)</f>
        <v>135250</v>
      </c>
      <c r="I226" s="11"/>
      <c r="J226" s="12">
        <f>J7-C226</f>
        <v>3055376.9998000078</v>
      </c>
    </row>
    <row r="231" spans="2:10">
      <c r="J231" s="14"/>
    </row>
  </sheetData>
  <mergeCells count="14">
    <mergeCell ref="J4:J6"/>
    <mergeCell ref="B1:J1"/>
    <mergeCell ref="B7:I7"/>
    <mergeCell ref="G4:H4"/>
    <mergeCell ref="E5:E6"/>
    <mergeCell ref="F5:F6"/>
    <mergeCell ref="G5:G6"/>
    <mergeCell ref="H5:H6"/>
    <mergeCell ref="B4:B6"/>
    <mergeCell ref="C4:C6"/>
    <mergeCell ref="I4:I6"/>
    <mergeCell ref="B2:J2"/>
    <mergeCell ref="D4:F4"/>
    <mergeCell ref="D5:D6"/>
  </mergeCells>
  <phoneticPr fontId="37" type="noConversion"/>
  <printOptions horizontalCentered="1" verticalCentered="1"/>
  <pageMargins left="0.2" right="0.2" top="0.2" bottom="0.2" header="0.2" footer="0.2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A837-4042-4D24-8447-5D9E0A845A1D}">
  <dimension ref="A1:O23"/>
  <sheetViews>
    <sheetView zoomScale="80" zoomScaleNormal="80" workbookViewId="0">
      <pane ySplit="3" topLeftCell="A7" activePane="bottomLeft" state="frozen"/>
      <selection pane="bottomLeft" activeCell="A2" sqref="A2"/>
    </sheetView>
  </sheetViews>
  <sheetFormatPr defaultRowHeight="15"/>
  <cols>
    <col min="1" max="1" width="11" bestFit="1" customWidth="1"/>
    <col min="2" max="2" width="24.5703125" bestFit="1" customWidth="1"/>
    <col min="3" max="3" width="9.28515625" bestFit="1" customWidth="1"/>
    <col min="4" max="4" width="11.42578125" bestFit="1" customWidth="1"/>
    <col min="5" max="5" width="21" bestFit="1" customWidth="1"/>
    <col min="6" max="6" width="18.7109375" bestFit="1" customWidth="1"/>
    <col min="7" max="8" width="21" bestFit="1" customWidth="1"/>
    <col min="9" max="9" width="6.85546875" hidden="1" customWidth="1"/>
    <col min="10" max="10" width="10.28515625" hidden="1" customWidth="1"/>
    <col min="11" max="11" width="7.140625" hidden="1" customWidth="1"/>
    <col min="12" max="12" width="77.85546875" hidden="1" customWidth="1"/>
    <col min="14" max="14" width="13.28515625" bestFit="1" customWidth="1"/>
  </cols>
  <sheetData>
    <row r="1" spans="1:15" ht="21.75" thickBot="1">
      <c r="A1" s="370" t="s">
        <v>302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5" ht="8.25" customHeight="1" thickBot="1">
      <c r="A2" s="28"/>
      <c r="B2" s="28"/>
      <c r="C2" s="28"/>
      <c r="D2" s="28"/>
      <c r="E2" s="28"/>
      <c r="F2" s="28"/>
      <c r="G2" s="28"/>
      <c r="H2" s="28"/>
      <c r="I2" s="371" t="s">
        <v>44</v>
      </c>
      <c r="J2" s="372"/>
      <c r="K2" s="373"/>
      <c r="L2" s="28"/>
    </row>
    <row r="3" spans="1:15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307" t="s">
        <v>32</v>
      </c>
      <c r="I3" s="301" t="s">
        <v>39</v>
      </c>
      <c r="J3" s="67" t="s">
        <v>33</v>
      </c>
      <c r="K3" s="67" t="s">
        <v>34</v>
      </c>
      <c r="L3" s="68" t="s">
        <v>2</v>
      </c>
    </row>
    <row r="4" spans="1:15" ht="39.75" customHeight="1">
      <c r="A4" s="267" t="s">
        <v>253</v>
      </c>
      <c r="B4" s="275" t="s">
        <v>257</v>
      </c>
      <c r="C4" s="268">
        <v>2124</v>
      </c>
      <c r="D4" s="269">
        <f t="shared" ref="D4:D16" si="0">E4/C4</f>
        <v>705.9880178907722</v>
      </c>
      <c r="E4" s="270">
        <v>1499518.55</v>
      </c>
      <c r="F4" s="271">
        <v>687.95</v>
      </c>
      <c r="G4" s="272">
        <f t="shared" ref="G4:G16" si="1">(F4*C4)-E4</f>
        <v>-38312.75</v>
      </c>
      <c r="H4" s="308">
        <f t="shared" ref="H4:H16" si="2">(G4/E4)*100</f>
        <v>-2.5550034042593204</v>
      </c>
      <c r="I4" s="302"/>
      <c r="J4" s="63"/>
      <c r="K4" s="63"/>
      <c r="L4" s="66" t="s">
        <v>195</v>
      </c>
    </row>
    <row r="5" spans="1:15" ht="39" customHeight="1">
      <c r="A5" s="267" t="s">
        <v>253</v>
      </c>
      <c r="B5" s="268" t="s">
        <v>256</v>
      </c>
      <c r="C5" s="268">
        <v>503</v>
      </c>
      <c r="D5" s="269">
        <f t="shared" si="0"/>
        <v>1988</v>
      </c>
      <c r="E5" s="270">
        <v>999964</v>
      </c>
      <c r="F5" s="271">
        <v>2201.9</v>
      </c>
      <c r="G5" s="272">
        <f t="shared" si="1"/>
        <v>107591.69999999995</v>
      </c>
      <c r="H5" s="308">
        <f t="shared" si="2"/>
        <v>10.759557344064381</v>
      </c>
      <c r="I5" s="302"/>
      <c r="J5" s="63"/>
      <c r="K5" s="63"/>
      <c r="L5" s="66" t="s">
        <v>105</v>
      </c>
      <c r="N5" s="20"/>
      <c r="O5" t="s">
        <v>70</v>
      </c>
    </row>
    <row r="6" spans="1:15" ht="34.5" customHeight="1">
      <c r="A6" s="267" t="s">
        <v>253</v>
      </c>
      <c r="B6" s="275" t="s">
        <v>260</v>
      </c>
      <c r="C6" s="268">
        <v>429</v>
      </c>
      <c r="D6" s="269">
        <f t="shared" si="0"/>
        <v>2323.5993006993008</v>
      </c>
      <c r="E6" s="270">
        <v>996824.1</v>
      </c>
      <c r="F6" s="271">
        <v>2414.1999999999998</v>
      </c>
      <c r="G6" s="272">
        <f t="shared" si="1"/>
        <v>38867.699999999953</v>
      </c>
      <c r="H6" s="308">
        <f t="shared" si="2"/>
        <v>3.8991533210322613</v>
      </c>
      <c r="I6" s="302"/>
      <c r="J6" s="63"/>
      <c r="K6" s="63"/>
      <c r="L6" s="66" t="s">
        <v>105</v>
      </c>
      <c r="N6" s="20"/>
    </row>
    <row r="7" spans="1:15" ht="36.75" customHeight="1">
      <c r="A7" s="267" t="s">
        <v>253</v>
      </c>
      <c r="B7" s="277" t="s">
        <v>258</v>
      </c>
      <c r="C7" s="278">
        <v>2257</v>
      </c>
      <c r="D7" s="279">
        <f t="shared" si="0"/>
        <v>441.4518387239699</v>
      </c>
      <c r="E7" s="280">
        <v>996356.8</v>
      </c>
      <c r="F7" s="281">
        <v>433.5</v>
      </c>
      <c r="G7" s="282">
        <f t="shared" si="1"/>
        <v>-17947.300000000047</v>
      </c>
      <c r="H7" s="309">
        <f t="shared" si="2"/>
        <v>-1.8012924687220526</v>
      </c>
      <c r="I7" s="303"/>
      <c r="J7" s="71"/>
      <c r="K7" s="71"/>
      <c r="L7" s="74" t="s">
        <v>160</v>
      </c>
      <c r="N7" s="20"/>
    </row>
    <row r="8" spans="1:15" ht="34.5" customHeight="1">
      <c r="A8" s="267" t="s">
        <v>253</v>
      </c>
      <c r="B8" s="278" t="s">
        <v>255</v>
      </c>
      <c r="C8" s="278">
        <v>603</v>
      </c>
      <c r="D8" s="279">
        <f t="shared" si="0"/>
        <v>1244.4974295190711</v>
      </c>
      <c r="E8" s="280">
        <v>750431.95</v>
      </c>
      <c r="F8" s="285">
        <v>1491.45</v>
      </c>
      <c r="G8" s="286">
        <f t="shared" si="1"/>
        <v>148912.40000000002</v>
      </c>
      <c r="H8" s="310">
        <f t="shared" si="2"/>
        <v>19.843558100104882</v>
      </c>
      <c r="I8" s="303"/>
      <c r="J8" s="116"/>
      <c r="K8" s="116"/>
      <c r="L8" s="74"/>
      <c r="N8" s="20"/>
    </row>
    <row r="9" spans="1:15" ht="34.5" customHeight="1">
      <c r="A9" s="267" t="s">
        <v>253</v>
      </c>
      <c r="B9" s="277" t="s">
        <v>261</v>
      </c>
      <c r="C9" s="278">
        <v>599</v>
      </c>
      <c r="D9" s="279">
        <f t="shared" si="0"/>
        <v>1250.0912353923206</v>
      </c>
      <c r="E9" s="280">
        <v>748804.65</v>
      </c>
      <c r="F9" s="285">
        <v>1418.55</v>
      </c>
      <c r="G9" s="286">
        <f t="shared" si="1"/>
        <v>100906.79999999993</v>
      </c>
      <c r="H9" s="310">
        <f t="shared" si="2"/>
        <v>13.475717598708812</v>
      </c>
      <c r="I9" s="303"/>
      <c r="J9" s="116"/>
      <c r="K9" s="116"/>
      <c r="L9" s="74"/>
      <c r="N9" s="20"/>
    </row>
    <row r="10" spans="1:15" ht="34.5" customHeight="1">
      <c r="A10" s="267" t="s">
        <v>253</v>
      </c>
      <c r="B10" s="277" t="s">
        <v>248</v>
      </c>
      <c r="C10" s="278">
        <v>904</v>
      </c>
      <c r="D10" s="279">
        <f t="shared" si="0"/>
        <v>827.84673672566362</v>
      </c>
      <c r="E10" s="280">
        <v>748373.45</v>
      </c>
      <c r="F10" s="285">
        <v>885.1</v>
      </c>
      <c r="G10" s="286">
        <f t="shared" si="1"/>
        <v>51756.95000000007</v>
      </c>
      <c r="H10" s="310">
        <f t="shared" si="2"/>
        <v>6.9159254647529353</v>
      </c>
      <c r="I10" s="303"/>
      <c r="J10" s="116"/>
      <c r="K10" s="116"/>
      <c r="L10" s="74"/>
      <c r="N10" s="20"/>
    </row>
    <row r="11" spans="1:15" ht="34.5" customHeight="1">
      <c r="A11" s="267" t="s">
        <v>253</v>
      </c>
      <c r="B11" s="277" t="s">
        <v>259</v>
      </c>
      <c r="C11" s="278">
        <v>1245</v>
      </c>
      <c r="D11" s="279">
        <f t="shared" si="0"/>
        <v>599.86044176706832</v>
      </c>
      <c r="E11" s="280">
        <v>746826.25</v>
      </c>
      <c r="F11" s="285">
        <v>608.5</v>
      </c>
      <c r="G11" s="286">
        <f t="shared" si="1"/>
        <v>10756.25</v>
      </c>
      <c r="H11" s="310">
        <f t="shared" si="2"/>
        <v>1.4402613727088462</v>
      </c>
      <c r="I11" s="303"/>
      <c r="J11" s="116"/>
      <c r="K11" s="116"/>
      <c r="L11" s="74"/>
      <c r="N11" s="20"/>
    </row>
    <row r="12" spans="1:15" ht="34.5" customHeight="1">
      <c r="A12" s="267" t="s">
        <v>254</v>
      </c>
      <c r="B12" s="277" t="s">
        <v>264</v>
      </c>
      <c r="C12" s="278">
        <v>1683</v>
      </c>
      <c r="D12" s="279">
        <f t="shared" si="0"/>
        <v>299.07602495543671</v>
      </c>
      <c r="E12" s="280">
        <v>503344.95</v>
      </c>
      <c r="F12" s="285">
        <v>298.5</v>
      </c>
      <c r="G12" s="286">
        <f t="shared" si="1"/>
        <v>-969.45000000001164</v>
      </c>
      <c r="H12" s="310">
        <f t="shared" si="2"/>
        <v>-0.19260151512397447</v>
      </c>
      <c r="I12" s="303"/>
      <c r="J12" s="116"/>
      <c r="K12" s="116"/>
      <c r="L12" s="74"/>
      <c r="N12" s="20"/>
    </row>
    <row r="13" spans="1:15" ht="34.5" customHeight="1">
      <c r="A13" s="267" t="s">
        <v>254</v>
      </c>
      <c r="B13" s="277" t="s">
        <v>265</v>
      </c>
      <c r="C13" s="278">
        <v>967</v>
      </c>
      <c r="D13" s="279">
        <f t="shared" si="0"/>
        <v>516.17316442606</v>
      </c>
      <c r="E13" s="280">
        <v>499139.45</v>
      </c>
      <c r="F13" s="285">
        <v>571.15</v>
      </c>
      <c r="G13" s="286">
        <f t="shared" si="1"/>
        <v>53162.599999999919</v>
      </c>
      <c r="H13" s="310">
        <f t="shared" si="2"/>
        <v>10.650851179965823</v>
      </c>
      <c r="I13" s="303"/>
      <c r="J13" s="116"/>
      <c r="K13" s="116"/>
      <c r="L13" s="74"/>
      <c r="N13" s="20"/>
    </row>
    <row r="14" spans="1:15" ht="34.5" customHeight="1">
      <c r="A14" s="267" t="s">
        <v>254</v>
      </c>
      <c r="B14" s="277" t="s">
        <v>262</v>
      </c>
      <c r="C14" s="278">
        <v>486</v>
      </c>
      <c r="D14" s="279">
        <f t="shared" si="0"/>
        <v>1026</v>
      </c>
      <c r="E14" s="280">
        <v>498636</v>
      </c>
      <c r="F14" s="285">
        <v>1098.3499999999999</v>
      </c>
      <c r="G14" s="286">
        <f t="shared" si="1"/>
        <v>35162.099999999977</v>
      </c>
      <c r="H14" s="310">
        <f t="shared" si="2"/>
        <v>7.0516569200779688</v>
      </c>
      <c r="I14" s="303"/>
      <c r="J14" s="116"/>
      <c r="K14" s="116"/>
      <c r="L14" s="74"/>
      <c r="N14" s="20"/>
    </row>
    <row r="15" spans="1:15" ht="34.5" customHeight="1">
      <c r="A15" s="267" t="s">
        <v>254</v>
      </c>
      <c r="B15" s="277" t="s">
        <v>263</v>
      </c>
      <c r="C15" s="278">
        <v>868</v>
      </c>
      <c r="D15" s="279">
        <f t="shared" si="0"/>
        <v>574.28099078341018</v>
      </c>
      <c r="E15" s="280">
        <v>498475.9</v>
      </c>
      <c r="F15" s="285">
        <v>794.35</v>
      </c>
      <c r="G15" s="286">
        <f t="shared" si="1"/>
        <v>191019.90000000002</v>
      </c>
      <c r="H15" s="310">
        <f t="shared" si="2"/>
        <v>38.32078943034157</v>
      </c>
      <c r="I15" s="303"/>
      <c r="J15" s="116"/>
      <c r="K15" s="116"/>
      <c r="L15" s="74"/>
      <c r="N15" s="20"/>
    </row>
    <row r="16" spans="1:15" ht="34.5" customHeight="1" thickBot="1">
      <c r="A16" s="267" t="s">
        <v>254</v>
      </c>
      <c r="B16" s="277" t="s">
        <v>266</v>
      </c>
      <c r="C16" s="278">
        <v>735</v>
      </c>
      <c r="D16" s="279">
        <f t="shared" si="0"/>
        <v>676.94299319727884</v>
      </c>
      <c r="E16" s="280">
        <v>497553.1</v>
      </c>
      <c r="F16" s="285">
        <v>699.1</v>
      </c>
      <c r="G16" s="286">
        <f t="shared" si="1"/>
        <v>16285.400000000023</v>
      </c>
      <c r="H16" s="310">
        <f t="shared" si="2"/>
        <v>3.273097886436648</v>
      </c>
      <c r="I16" s="303"/>
      <c r="J16" s="116"/>
      <c r="K16" s="116"/>
      <c r="L16" s="74"/>
      <c r="N16" s="20"/>
    </row>
    <row r="17" spans="1:14" ht="36.75" customHeight="1" thickBot="1">
      <c r="A17" s="374" t="s">
        <v>1</v>
      </c>
      <c r="B17" s="375"/>
      <c r="C17" s="375"/>
      <c r="D17" s="376"/>
      <c r="E17" s="287">
        <f>SUM(E4:E16)</f>
        <v>9984249.1500000004</v>
      </c>
      <c r="F17" s="288"/>
      <c r="G17" s="289">
        <f>SUM(G4:G16)</f>
        <v>697192.29999999981</v>
      </c>
      <c r="H17" s="311">
        <f>G17/E17*100</f>
        <v>6.9829216952183106</v>
      </c>
      <c r="I17" s="304"/>
      <c r="J17" s="94"/>
      <c r="K17" s="94"/>
      <c r="L17" s="95"/>
      <c r="N17" s="20"/>
    </row>
    <row r="18" spans="1:14" ht="7.5" customHeight="1">
      <c r="A18" s="86"/>
      <c r="B18" s="87"/>
      <c r="C18" s="88"/>
      <c r="D18" s="13"/>
      <c r="E18" s="133"/>
      <c r="F18" s="89"/>
      <c r="G18" s="136"/>
      <c r="H18" s="312"/>
      <c r="I18" s="305"/>
      <c r="J18" s="88"/>
      <c r="K18" s="88"/>
      <c r="L18" s="91"/>
      <c r="N18" s="20"/>
    </row>
    <row r="19" spans="1:14" ht="18" customHeight="1" thickBot="1">
      <c r="A19" s="19"/>
      <c r="B19" s="18"/>
      <c r="C19" s="18"/>
      <c r="D19" s="18"/>
      <c r="E19" s="135"/>
      <c r="F19" s="17"/>
      <c r="G19" s="139"/>
      <c r="H19" s="41"/>
      <c r="I19" s="306"/>
      <c r="J19" s="18"/>
      <c r="K19" s="18"/>
      <c r="L19" s="15"/>
    </row>
    <row r="20" spans="1:14" ht="18.75">
      <c r="E20" s="298"/>
      <c r="F20" s="298"/>
      <c r="G20" s="299">
        <f>E17+G17</f>
        <v>10681441.449999999</v>
      </c>
      <c r="H20" s="298"/>
    </row>
    <row r="22" spans="1:14">
      <c r="G22" s="42"/>
    </row>
    <row r="23" spans="1:14">
      <c r="E23" s="14"/>
      <c r="F23" s="14"/>
      <c r="G23" s="14"/>
      <c r="H23" s="14"/>
    </row>
  </sheetData>
  <mergeCells count="3">
    <mergeCell ref="A1:L1"/>
    <mergeCell ref="I2:K2"/>
    <mergeCell ref="A17:D17"/>
  </mergeCells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580D-6B2C-4671-9B66-6A76639ED9DE}">
  <dimension ref="A1:O22"/>
  <sheetViews>
    <sheetView zoomScale="80" zoomScaleNormal="80" workbookViewId="0">
      <pane ySplit="3" topLeftCell="A7" activePane="bottomLeft" state="frozen"/>
      <selection pane="bottomLeft" activeCell="A2" sqref="A2"/>
    </sheetView>
  </sheetViews>
  <sheetFormatPr defaultRowHeight="15"/>
  <cols>
    <col min="1" max="1" width="11" bestFit="1" customWidth="1"/>
    <col min="2" max="2" width="24.5703125" bestFit="1" customWidth="1"/>
    <col min="3" max="3" width="9.28515625" bestFit="1" customWidth="1"/>
    <col min="4" max="4" width="11.42578125" bestFit="1" customWidth="1"/>
    <col min="5" max="5" width="21" bestFit="1" customWidth="1"/>
    <col min="6" max="6" width="18.7109375" bestFit="1" customWidth="1"/>
    <col min="7" max="8" width="21" bestFit="1" customWidth="1"/>
    <col min="9" max="9" width="6.85546875" hidden="1" customWidth="1"/>
    <col min="10" max="10" width="10.28515625" hidden="1" customWidth="1"/>
    <col min="11" max="11" width="7.140625" hidden="1" customWidth="1"/>
    <col min="12" max="12" width="77.85546875" hidden="1" customWidth="1"/>
    <col min="14" max="14" width="13.28515625" bestFit="1" customWidth="1"/>
  </cols>
  <sheetData>
    <row r="1" spans="1:15" ht="21.75" thickBot="1">
      <c r="A1" s="370" t="s">
        <v>302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5" ht="8.25" customHeight="1" thickBot="1">
      <c r="A2" s="28"/>
      <c r="B2" s="28"/>
      <c r="C2" s="28"/>
      <c r="D2" s="28"/>
      <c r="E2" s="28"/>
      <c r="F2" s="28"/>
      <c r="G2" s="28"/>
      <c r="H2" s="28"/>
      <c r="I2" s="371" t="s">
        <v>44</v>
      </c>
      <c r="J2" s="372"/>
      <c r="K2" s="373"/>
      <c r="L2" s="28"/>
    </row>
    <row r="3" spans="1:15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307" t="s">
        <v>32</v>
      </c>
      <c r="I3" s="301" t="s">
        <v>39</v>
      </c>
      <c r="J3" s="67" t="s">
        <v>33</v>
      </c>
      <c r="K3" s="67" t="s">
        <v>34</v>
      </c>
      <c r="L3" s="68" t="s">
        <v>2</v>
      </c>
    </row>
    <row r="4" spans="1:15" ht="39.75" customHeight="1">
      <c r="A4" s="267" t="s">
        <v>280</v>
      </c>
      <c r="B4" s="275" t="s">
        <v>283</v>
      </c>
      <c r="C4" s="268">
        <v>2439</v>
      </c>
      <c r="D4" s="269">
        <f t="shared" ref="D4:D15" si="0">E4/C4</f>
        <v>409.97439524395247</v>
      </c>
      <c r="E4" s="270">
        <v>999927.55</v>
      </c>
      <c r="F4" s="271">
        <v>388.55</v>
      </c>
      <c r="G4" s="272">
        <f t="shared" ref="G4:G15" si="1">(F4*C4)-E4</f>
        <v>-52254.099999999977</v>
      </c>
      <c r="H4" s="308">
        <f t="shared" ref="H4:H15" si="2">(G4/E4)*100</f>
        <v>-5.2257886083846756</v>
      </c>
      <c r="I4" s="302"/>
      <c r="J4" s="63"/>
      <c r="K4" s="63"/>
      <c r="L4" s="66" t="s">
        <v>195</v>
      </c>
    </row>
    <row r="5" spans="1:15" ht="39" customHeight="1">
      <c r="A5" s="267" t="s">
        <v>280</v>
      </c>
      <c r="B5" s="275" t="s">
        <v>152</v>
      </c>
      <c r="C5" s="268">
        <v>2290</v>
      </c>
      <c r="D5" s="269">
        <f t="shared" si="0"/>
        <v>436.24995633187774</v>
      </c>
      <c r="E5" s="270">
        <v>999012.4</v>
      </c>
      <c r="F5" s="271">
        <v>418.6</v>
      </c>
      <c r="G5" s="272">
        <f t="shared" si="1"/>
        <v>-40418.400000000023</v>
      </c>
      <c r="H5" s="308">
        <f t="shared" si="2"/>
        <v>-4.0458356673050329</v>
      </c>
      <c r="I5" s="302"/>
      <c r="J5" s="63"/>
      <c r="K5" s="63"/>
      <c r="L5" s="66" t="s">
        <v>105</v>
      </c>
      <c r="N5" s="20"/>
      <c r="O5" t="s">
        <v>70</v>
      </c>
    </row>
    <row r="6" spans="1:15" ht="34.5" customHeight="1">
      <c r="A6" s="267" t="s">
        <v>280</v>
      </c>
      <c r="B6" s="275" t="s">
        <v>287</v>
      </c>
      <c r="C6" s="268">
        <v>4926</v>
      </c>
      <c r="D6" s="269">
        <f t="shared" si="0"/>
        <v>202.57961835160373</v>
      </c>
      <c r="E6" s="270">
        <v>997907.2</v>
      </c>
      <c r="F6" s="271">
        <v>200.35</v>
      </c>
      <c r="G6" s="272">
        <f t="shared" si="1"/>
        <v>-10983.099999999977</v>
      </c>
      <c r="H6" s="308">
        <f t="shared" si="2"/>
        <v>-1.1006133636474391</v>
      </c>
      <c r="I6" s="302"/>
      <c r="J6" s="63"/>
      <c r="K6" s="63"/>
      <c r="L6" s="66" t="s">
        <v>105</v>
      </c>
      <c r="N6" s="20"/>
    </row>
    <row r="7" spans="1:15" ht="36.75" customHeight="1">
      <c r="A7" s="267" t="s">
        <v>280</v>
      </c>
      <c r="B7" s="278" t="s">
        <v>282</v>
      </c>
      <c r="C7" s="278">
        <v>2008</v>
      </c>
      <c r="D7" s="279">
        <f t="shared" si="0"/>
        <v>496.85</v>
      </c>
      <c r="E7" s="280">
        <v>997674.8</v>
      </c>
      <c r="F7" s="281">
        <v>499.65</v>
      </c>
      <c r="G7" s="282">
        <f t="shared" si="1"/>
        <v>5622.3999999999069</v>
      </c>
      <c r="H7" s="309">
        <f t="shared" si="2"/>
        <v>0.56355036731406938</v>
      </c>
      <c r="I7" s="303"/>
      <c r="J7" s="71"/>
      <c r="K7" s="71"/>
      <c r="L7" s="74" t="s">
        <v>160</v>
      </c>
      <c r="N7" s="20"/>
    </row>
    <row r="8" spans="1:15" ht="34.5" customHeight="1">
      <c r="A8" s="267" t="s">
        <v>280</v>
      </c>
      <c r="B8" s="277" t="s">
        <v>286</v>
      </c>
      <c r="C8" s="278">
        <v>3921</v>
      </c>
      <c r="D8" s="279">
        <f t="shared" si="0"/>
        <v>253.98640652894667</v>
      </c>
      <c r="E8" s="280">
        <v>995880.7</v>
      </c>
      <c r="F8" s="285">
        <v>254.75</v>
      </c>
      <c r="G8" s="286">
        <f t="shared" si="1"/>
        <v>2994.0500000000466</v>
      </c>
      <c r="H8" s="310">
        <f t="shared" si="2"/>
        <v>0.30064344052455744</v>
      </c>
      <c r="I8" s="303"/>
      <c r="J8" s="116"/>
      <c r="K8" s="116"/>
      <c r="L8" s="74"/>
      <c r="N8" s="20"/>
    </row>
    <row r="9" spans="1:15" ht="34.5" customHeight="1">
      <c r="A9" s="267" t="s">
        <v>280</v>
      </c>
      <c r="B9" s="277" t="s">
        <v>285</v>
      </c>
      <c r="C9" s="278">
        <v>5524</v>
      </c>
      <c r="D9" s="279">
        <f t="shared" si="0"/>
        <v>180.16167632150615</v>
      </c>
      <c r="E9" s="280">
        <v>995213.1</v>
      </c>
      <c r="F9" s="285">
        <v>177</v>
      </c>
      <c r="G9" s="286">
        <f t="shared" si="1"/>
        <v>-17465.099999999977</v>
      </c>
      <c r="H9" s="310">
        <f t="shared" si="2"/>
        <v>-1.7549105814624</v>
      </c>
      <c r="I9" s="303"/>
      <c r="J9" s="116"/>
      <c r="K9" s="116"/>
      <c r="L9" s="74"/>
      <c r="N9" s="20"/>
    </row>
    <row r="10" spans="1:15" ht="34.5" customHeight="1">
      <c r="A10" s="267" t="s">
        <v>280</v>
      </c>
      <c r="B10" s="277" t="s">
        <v>81</v>
      </c>
      <c r="C10" s="278">
        <v>4043</v>
      </c>
      <c r="D10" s="279">
        <f t="shared" si="0"/>
        <v>185.21188473905517</v>
      </c>
      <c r="E10" s="280">
        <v>748811.65</v>
      </c>
      <c r="F10" s="285">
        <v>195.2</v>
      </c>
      <c r="G10" s="286">
        <f t="shared" si="1"/>
        <v>40381.949999999953</v>
      </c>
      <c r="H10" s="310">
        <f t="shared" si="2"/>
        <v>5.3928047193175948</v>
      </c>
      <c r="I10" s="303"/>
      <c r="J10" s="116"/>
      <c r="K10" s="116"/>
      <c r="L10" s="74"/>
      <c r="N10" s="20"/>
    </row>
    <row r="11" spans="1:15" ht="34.5" customHeight="1">
      <c r="A11" s="267" t="s">
        <v>280</v>
      </c>
      <c r="B11" s="277" t="s">
        <v>289</v>
      </c>
      <c r="C11" s="278">
        <v>8196</v>
      </c>
      <c r="D11" s="279">
        <f t="shared" si="0"/>
        <v>91.199999999999989</v>
      </c>
      <c r="E11" s="280">
        <v>747475.2</v>
      </c>
      <c r="F11" s="285">
        <v>93.5</v>
      </c>
      <c r="G11" s="286">
        <f t="shared" si="1"/>
        <v>18850.800000000047</v>
      </c>
      <c r="H11" s="310">
        <f t="shared" si="2"/>
        <v>2.5219298245614099</v>
      </c>
      <c r="I11" s="303"/>
      <c r="J11" s="116"/>
      <c r="K11" s="116"/>
      <c r="L11" s="74"/>
      <c r="N11" s="20"/>
    </row>
    <row r="12" spans="1:15" ht="34.5" customHeight="1">
      <c r="A12" s="267" t="s">
        <v>280</v>
      </c>
      <c r="B12" s="277" t="s">
        <v>252</v>
      </c>
      <c r="C12" s="278">
        <v>660</v>
      </c>
      <c r="D12" s="279">
        <f t="shared" si="0"/>
        <v>1131.1848484848485</v>
      </c>
      <c r="E12" s="280">
        <v>746582</v>
      </c>
      <c r="F12" s="285">
        <v>1094.5</v>
      </c>
      <c r="G12" s="286">
        <f t="shared" si="1"/>
        <v>-24212</v>
      </c>
      <c r="H12" s="310">
        <f t="shared" si="2"/>
        <v>-3.2430463097154769</v>
      </c>
      <c r="I12" s="303"/>
      <c r="J12" s="116"/>
      <c r="K12" s="116"/>
      <c r="L12" s="74"/>
      <c r="N12" s="20"/>
    </row>
    <row r="13" spans="1:15" ht="34.5" customHeight="1">
      <c r="A13" s="267" t="s">
        <v>280</v>
      </c>
      <c r="B13" s="277" t="s">
        <v>281</v>
      </c>
      <c r="C13" s="278">
        <v>2777</v>
      </c>
      <c r="D13" s="279">
        <f t="shared" si="0"/>
        <v>267.7577961829312</v>
      </c>
      <c r="E13" s="280">
        <v>743563.4</v>
      </c>
      <c r="F13" s="285">
        <v>262.95</v>
      </c>
      <c r="G13" s="286">
        <f t="shared" si="1"/>
        <v>-13351.25</v>
      </c>
      <c r="H13" s="310">
        <f t="shared" si="2"/>
        <v>-1.7955765439772855</v>
      </c>
      <c r="I13" s="303"/>
      <c r="J13" s="116"/>
      <c r="K13" s="116"/>
      <c r="L13" s="74"/>
      <c r="N13" s="20"/>
    </row>
    <row r="14" spans="1:15" ht="34.5" customHeight="1">
      <c r="A14" s="267" t="s">
        <v>280</v>
      </c>
      <c r="B14" s="278" t="s">
        <v>284</v>
      </c>
      <c r="C14" s="278">
        <v>3344</v>
      </c>
      <c r="D14" s="279">
        <f t="shared" si="0"/>
        <v>149.54047547846889</v>
      </c>
      <c r="E14" s="280">
        <v>500063.35</v>
      </c>
      <c r="F14" s="285">
        <v>144.30000000000001</v>
      </c>
      <c r="G14" s="286">
        <f t="shared" si="1"/>
        <v>-17524.149999999965</v>
      </c>
      <c r="H14" s="310">
        <f t="shared" si="2"/>
        <v>-3.5043859942945161</v>
      </c>
      <c r="I14" s="303"/>
      <c r="J14" s="116"/>
      <c r="K14" s="116"/>
      <c r="L14" s="74"/>
      <c r="N14" s="20"/>
    </row>
    <row r="15" spans="1:15" ht="34.5" customHeight="1" thickBot="1">
      <c r="A15" s="267" t="s">
        <v>280</v>
      </c>
      <c r="B15" s="277" t="s">
        <v>288</v>
      </c>
      <c r="C15" s="278">
        <v>36231</v>
      </c>
      <c r="D15" s="279">
        <f t="shared" si="0"/>
        <v>13.75</v>
      </c>
      <c r="E15" s="280">
        <v>498176.25</v>
      </c>
      <c r="F15" s="285">
        <v>15.55</v>
      </c>
      <c r="G15" s="286">
        <f t="shared" si="1"/>
        <v>65215.800000000047</v>
      </c>
      <c r="H15" s="310">
        <f t="shared" si="2"/>
        <v>13.090909090909101</v>
      </c>
      <c r="I15" s="303"/>
      <c r="J15" s="116"/>
      <c r="K15" s="116"/>
      <c r="L15" s="74"/>
      <c r="N15" s="20"/>
    </row>
    <row r="16" spans="1:15" ht="36.75" customHeight="1" thickBot="1">
      <c r="A16" s="374" t="s">
        <v>1</v>
      </c>
      <c r="B16" s="375"/>
      <c r="C16" s="375"/>
      <c r="D16" s="376"/>
      <c r="E16" s="287">
        <f>SUM(E4:E15)</f>
        <v>9970287.5999999996</v>
      </c>
      <c r="F16" s="288"/>
      <c r="G16" s="289">
        <f>SUM(G4:G15)</f>
        <v>-43143.099999999919</v>
      </c>
      <c r="H16" s="311">
        <f>G16/E16*100</f>
        <v>-0.43271670518310751</v>
      </c>
      <c r="I16" s="304"/>
      <c r="J16" s="94"/>
      <c r="K16" s="94"/>
      <c r="L16" s="95"/>
      <c r="N16" s="20"/>
    </row>
    <row r="17" spans="1:14" ht="7.5" customHeight="1">
      <c r="A17" s="86"/>
      <c r="B17" s="87"/>
      <c r="C17" s="88"/>
      <c r="D17" s="13"/>
      <c r="E17" s="133"/>
      <c r="F17" s="89"/>
      <c r="G17" s="136"/>
      <c r="H17" s="312"/>
      <c r="I17" s="305"/>
      <c r="J17" s="88"/>
      <c r="K17" s="88"/>
      <c r="L17" s="91"/>
      <c r="N17" s="20"/>
    </row>
    <row r="18" spans="1:14" ht="18" customHeight="1" thickBot="1">
      <c r="A18" s="19"/>
      <c r="B18" s="18"/>
      <c r="C18" s="18"/>
      <c r="D18" s="18"/>
      <c r="E18" s="135"/>
      <c r="F18" s="17"/>
      <c r="G18" s="139"/>
      <c r="H18" s="41"/>
      <c r="I18" s="306"/>
      <c r="J18" s="18"/>
      <c r="K18" s="18"/>
      <c r="L18" s="15"/>
    </row>
    <row r="19" spans="1:14" ht="18.75">
      <c r="E19" s="298"/>
      <c r="F19" s="298"/>
      <c r="G19" s="299">
        <f>E16+G16</f>
        <v>9927144.5</v>
      </c>
      <c r="H19" s="298"/>
    </row>
    <row r="21" spans="1:14">
      <c r="G21" s="42"/>
    </row>
    <row r="22" spans="1:14">
      <c r="E22" s="14"/>
      <c r="F22" s="14"/>
      <c r="G22" s="14"/>
      <c r="H22" s="14"/>
    </row>
  </sheetData>
  <sortState xmlns:xlrd2="http://schemas.microsoft.com/office/spreadsheetml/2017/richdata2" ref="A4:H15">
    <sortCondition descending="1" ref="E4:E15"/>
  </sortState>
  <mergeCells count="3">
    <mergeCell ref="A1:L1"/>
    <mergeCell ref="I2:K2"/>
    <mergeCell ref="A16:D16"/>
  </mergeCells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zoomScale="80" zoomScaleNormal="80" workbookViewId="0">
      <pane ySplit="3" topLeftCell="A4" activePane="bottomLeft" state="frozen"/>
      <selection pane="bottomLeft" activeCell="E8" sqref="E8"/>
    </sheetView>
  </sheetViews>
  <sheetFormatPr defaultRowHeight="15"/>
  <cols>
    <col min="1" max="1" width="11" bestFit="1" customWidth="1"/>
    <col min="2" max="2" width="24.5703125" bestFit="1" customWidth="1"/>
    <col min="3" max="3" width="9.28515625" bestFit="1" customWidth="1"/>
    <col min="4" max="4" width="11.42578125" bestFit="1" customWidth="1"/>
    <col min="5" max="5" width="21" bestFit="1" customWidth="1"/>
    <col min="6" max="6" width="18.7109375" bestFit="1" customWidth="1"/>
    <col min="7" max="8" width="21" bestFit="1" customWidth="1"/>
    <col min="9" max="9" width="24.5703125" bestFit="1" customWidth="1"/>
    <col min="10" max="10" width="6.85546875" hidden="1" customWidth="1"/>
    <col min="11" max="11" width="10.28515625" hidden="1" customWidth="1"/>
    <col min="12" max="12" width="7.140625" hidden="1" customWidth="1"/>
    <col min="13" max="13" width="77.85546875" hidden="1" customWidth="1"/>
    <col min="15" max="15" width="13.28515625" bestFit="1" customWidth="1"/>
  </cols>
  <sheetData>
    <row r="1" spans="1:16" ht="21.75" thickBot="1">
      <c r="A1" s="370" t="s">
        <v>303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</row>
    <row r="2" spans="1:16" ht="8.25" customHeight="1" thickBot="1">
      <c r="A2" s="28"/>
      <c r="B2" s="28"/>
      <c r="C2" s="28"/>
      <c r="D2" s="28"/>
      <c r="E2" s="28"/>
      <c r="F2" s="28"/>
      <c r="G2" s="28"/>
      <c r="H2" s="28"/>
      <c r="I2" s="28"/>
      <c r="J2" s="371" t="s">
        <v>44</v>
      </c>
      <c r="K2" s="372"/>
      <c r="L2" s="373"/>
      <c r="M2" s="28"/>
    </row>
    <row r="3" spans="1:16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293" t="s">
        <v>32</v>
      </c>
      <c r="I3" s="293" t="s">
        <v>59</v>
      </c>
      <c r="J3" s="67" t="s">
        <v>39</v>
      </c>
      <c r="K3" s="67" t="s">
        <v>33</v>
      </c>
      <c r="L3" s="67" t="s">
        <v>34</v>
      </c>
      <c r="M3" s="68" t="s">
        <v>2</v>
      </c>
    </row>
    <row r="4" spans="1:16" ht="39.75" customHeight="1">
      <c r="A4" s="267" t="s">
        <v>17</v>
      </c>
      <c r="B4" s="268" t="s">
        <v>16</v>
      </c>
      <c r="C4" s="268">
        <v>1688</v>
      </c>
      <c r="D4" s="269">
        <f t="shared" ref="D4:D8" si="0">E4/C4</f>
        <v>888.87903027251184</v>
      </c>
      <c r="E4" s="270">
        <v>1500427.8030999999</v>
      </c>
      <c r="F4" s="271">
        <v>1367.85</v>
      </c>
      <c r="G4" s="272">
        <f t="shared" ref="G4:G8" si="1">(F4*C4)-E4</f>
        <v>808502.99689999991</v>
      </c>
      <c r="H4" s="273">
        <f t="shared" ref="H4:H8" si="2">(G4/E4)*100</f>
        <v>53.884831727962535</v>
      </c>
      <c r="I4" s="274" t="s">
        <v>61</v>
      </c>
      <c r="J4" s="65"/>
      <c r="K4" s="63"/>
      <c r="L4" s="63"/>
      <c r="M4" s="66" t="s">
        <v>195</v>
      </c>
    </row>
    <row r="5" spans="1:16" ht="39" customHeight="1">
      <c r="A5" s="267">
        <v>42590</v>
      </c>
      <c r="B5" s="268" t="s">
        <v>14</v>
      </c>
      <c r="C5" s="268">
        <f>74+37</f>
        <v>111</v>
      </c>
      <c r="D5" s="269">
        <f t="shared" si="0"/>
        <v>6631.1193693693695</v>
      </c>
      <c r="E5" s="270">
        <f>503200+232854.25</f>
        <v>736054.25</v>
      </c>
      <c r="F5" s="271">
        <v>7870.9</v>
      </c>
      <c r="G5" s="272">
        <f t="shared" si="1"/>
        <v>137615.64999999991</v>
      </c>
      <c r="H5" s="273">
        <f t="shared" si="2"/>
        <v>18.696400435158132</v>
      </c>
      <c r="I5" s="274" t="s">
        <v>61</v>
      </c>
      <c r="J5" s="65"/>
      <c r="K5" s="63"/>
      <c r="L5" s="63"/>
      <c r="M5" s="66" t="s">
        <v>105</v>
      </c>
      <c r="O5" s="20"/>
      <c r="P5" t="s">
        <v>70</v>
      </c>
    </row>
    <row r="6" spans="1:16" ht="34.5" customHeight="1">
      <c r="A6" s="267" t="s">
        <v>13</v>
      </c>
      <c r="B6" s="275" t="s">
        <v>36</v>
      </c>
      <c r="C6" s="268">
        <f>857+532</f>
        <v>1389</v>
      </c>
      <c r="D6" s="269">
        <f t="shared" si="0"/>
        <v>1079.8836573074154</v>
      </c>
      <c r="E6" s="270">
        <f>1000082.95+499875.45</f>
        <v>1499958.4</v>
      </c>
      <c r="F6" s="271">
        <v>1158.5</v>
      </c>
      <c r="G6" s="272">
        <f t="shared" si="1"/>
        <v>109198.10000000009</v>
      </c>
      <c r="H6" s="273">
        <f t="shared" si="2"/>
        <v>7.2800752340864987</v>
      </c>
      <c r="I6" s="274" t="s">
        <v>61</v>
      </c>
      <c r="J6" s="65"/>
      <c r="K6" s="63"/>
      <c r="L6" s="63"/>
      <c r="M6" s="66" t="s">
        <v>105</v>
      </c>
      <c r="O6" s="20"/>
    </row>
    <row r="7" spans="1:16" ht="34.5" customHeight="1">
      <c r="A7" s="276" t="s">
        <v>149</v>
      </c>
      <c r="B7" s="277" t="s">
        <v>151</v>
      </c>
      <c r="C7" s="278">
        <v>351</v>
      </c>
      <c r="D7" s="279">
        <f t="shared" si="0"/>
        <v>2849</v>
      </c>
      <c r="E7" s="280">
        <v>999999</v>
      </c>
      <c r="F7" s="285">
        <v>3333.6</v>
      </c>
      <c r="G7" s="286">
        <f t="shared" si="1"/>
        <v>170094.59999999986</v>
      </c>
      <c r="H7" s="274">
        <f t="shared" si="2"/>
        <v>17.009477009476996</v>
      </c>
      <c r="I7" s="284" t="s">
        <v>61</v>
      </c>
      <c r="J7" s="70"/>
      <c r="K7" s="116"/>
      <c r="L7" s="116"/>
      <c r="M7" s="74"/>
      <c r="O7" s="20"/>
    </row>
    <row r="8" spans="1:16" ht="34.5" customHeight="1">
      <c r="A8" s="276" t="s">
        <v>206</v>
      </c>
      <c r="B8" s="277" t="s">
        <v>208</v>
      </c>
      <c r="C8" s="278">
        <f>235+128</f>
        <v>363</v>
      </c>
      <c r="D8" s="279">
        <f t="shared" si="0"/>
        <v>4080.4710743801652</v>
      </c>
      <c r="E8" s="280">
        <f>986721.1+494489.9</f>
        <v>1481211</v>
      </c>
      <c r="F8" s="285">
        <v>4320.6000000000004</v>
      </c>
      <c r="G8" s="286">
        <f t="shared" si="1"/>
        <v>87166.800000000047</v>
      </c>
      <c r="H8" s="274">
        <f t="shared" si="2"/>
        <v>5.8848334234622923</v>
      </c>
      <c r="I8" s="284" t="s">
        <v>61</v>
      </c>
      <c r="J8" s="70"/>
      <c r="K8" s="116"/>
      <c r="L8" s="116"/>
      <c r="M8" s="74"/>
      <c r="O8" s="20"/>
    </row>
    <row r="9" spans="1:16" ht="34.5" customHeight="1">
      <c r="A9" s="276" t="s">
        <v>206</v>
      </c>
      <c r="B9" s="277" t="s">
        <v>207</v>
      </c>
      <c r="C9" s="278">
        <f>31+16</f>
        <v>47</v>
      </c>
      <c r="D9" s="279">
        <f t="shared" ref="D9:D11" si="3">E9/C9</f>
        <v>31299.779787234042</v>
      </c>
      <c r="E9" s="280">
        <f>988189.15+482900.5</f>
        <v>1471089.65</v>
      </c>
      <c r="F9" s="285">
        <v>30340.85</v>
      </c>
      <c r="G9" s="286">
        <f t="shared" ref="G9" si="4">(F9*C9)-E9</f>
        <v>-45069.699999999953</v>
      </c>
      <c r="H9" s="274">
        <f t="shared" ref="H9" si="5">(G9/E9)*100</f>
        <v>-3.0636949964266256</v>
      </c>
      <c r="I9" s="284" t="s">
        <v>61</v>
      </c>
      <c r="J9" s="70"/>
      <c r="K9" s="116"/>
      <c r="L9" s="116"/>
      <c r="M9" s="74"/>
      <c r="O9" s="20"/>
    </row>
    <row r="10" spans="1:16" ht="34.5" customHeight="1">
      <c r="A10" s="276" t="s">
        <v>219</v>
      </c>
      <c r="B10" s="277" t="s">
        <v>220</v>
      </c>
      <c r="C10" s="278">
        <v>660</v>
      </c>
      <c r="D10" s="279">
        <f t="shared" si="3"/>
        <v>1134.8</v>
      </c>
      <c r="E10" s="280">
        <v>748968</v>
      </c>
      <c r="F10" s="285">
        <v>1258.25</v>
      </c>
      <c r="G10" s="286">
        <f t="shared" ref="G10:G11" si="6">(F10*C10)-E10</f>
        <v>81477</v>
      </c>
      <c r="H10" s="274">
        <f t="shared" ref="H10:H11" si="7">(G10/E10)*100</f>
        <v>10.87856891082129</v>
      </c>
      <c r="I10" s="284" t="s">
        <v>61</v>
      </c>
      <c r="J10" s="70"/>
      <c r="K10" s="116"/>
      <c r="L10" s="116"/>
      <c r="M10" s="74"/>
      <c r="O10" s="20"/>
    </row>
    <row r="11" spans="1:16" ht="34.5" customHeight="1" thickBot="1">
      <c r="A11" s="276" t="s">
        <v>219</v>
      </c>
      <c r="B11" s="277" t="s">
        <v>221</v>
      </c>
      <c r="C11" s="278">
        <v>944</v>
      </c>
      <c r="D11" s="279">
        <f t="shared" si="3"/>
        <v>788</v>
      </c>
      <c r="E11" s="280">
        <v>743872</v>
      </c>
      <c r="F11" s="285">
        <v>921.05</v>
      </c>
      <c r="G11" s="286">
        <f t="shared" si="6"/>
        <v>125599.19999999995</v>
      </c>
      <c r="H11" s="274">
        <f t="shared" si="7"/>
        <v>16.884517766497456</v>
      </c>
      <c r="I11" s="284" t="s">
        <v>61</v>
      </c>
      <c r="J11" s="70"/>
      <c r="K11" s="116"/>
      <c r="L11" s="116"/>
      <c r="M11" s="74"/>
      <c r="O11" s="20"/>
    </row>
    <row r="12" spans="1:16" ht="36.75" customHeight="1" thickBot="1">
      <c r="A12" s="374" t="s">
        <v>136</v>
      </c>
      <c r="B12" s="375"/>
      <c r="C12" s="375"/>
      <c r="D12" s="376"/>
      <c r="E12" s="287">
        <f>SUM(E4:E11)</f>
        <v>9181580.1030999999</v>
      </c>
      <c r="F12" s="288"/>
      <c r="G12" s="289">
        <f>SUM(G4:G11)</f>
        <v>1474584.6468999998</v>
      </c>
      <c r="H12" s="290">
        <f>G12/E12*100</f>
        <v>16.060249220089386</v>
      </c>
      <c r="I12" s="92"/>
      <c r="J12" s="93"/>
      <c r="K12" s="94"/>
      <c r="L12" s="94"/>
      <c r="M12" s="95"/>
      <c r="O12" s="20"/>
    </row>
    <row r="13" spans="1:16" ht="7.5" customHeight="1">
      <c r="A13" s="86"/>
      <c r="B13" s="87"/>
      <c r="C13" s="88"/>
      <c r="D13" s="13"/>
      <c r="E13" s="133"/>
      <c r="F13" s="89"/>
      <c r="G13" s="136"/>
      <c r="H13" s="64"/>
      <c r="I13" s="90"/>
      <c r="J13" s="87"/>
      <c r="K13" s="88"/>
      <c r="L13" s="88"/>
      <c r="M13" s="91"/>
      <c r="O13" s="20"/>
    </row>
    <row r="14" spans="1:16" ht="34.5" customHeight="1">
      <c r="A14" s="276">
        <v>42583</v>
      </c>
      <c r="B14" s="278" t="s">
        <v>15</v>
      </c>
      <c r="C14" s="278">
        <f>200+217</f>
        <v>417</v>
      </c>
      <c r="D14" s="269">
        <f>E14/C14</f>
        <v>2479.163788968825</v>
      </c>
      <c r="E14" s="280">
        <f>539799.75+494011.55</f>
        <v>1033811.3</v>
      </c>
      <c r="F14" s="285">
        <v>2701.2</v>
      </c>
      <c r="G14" s="272">
        <f>(F14*C14)-E14</f>
        <v>92589.09999999986</v>
      </c>
      <c r="H14" s="273">
        <f t="shared" ref="H14:H20" si="8">(G14/E14)*100</f>
        <v>8.9560928575649985</v>
      </c>
      <c r="I14" s="274" t="s">
        <v>60</v>
      </c>
      <c r="J14" s="70"/>
      <c r="K14" s="71"/>
      <c r="L14" s="71"/>
      <c r="M14" s="74" t="s">
        <v>227</v>
      </c>
      <c r="O14" s="20"/>
    </row>
    <row r="15" spans="1:16" ht="34.5" customHeight="1">
      <c r="A15" s="276">
        <v>42660</v>
      </c>
      <c r="B15" s="277" t="s">
        <v>63</v>
      </c>
      <c r="C15" s="278">
        <v>6169</v>
      </c>
      <c r="D15" s="269">
        <f>E15/C15</f>
        <v>81.05</v>
      </c>
      <c r="E15" s="280">
        <v>499997.45</v>
      </c>
      <c r="F15" s="285">
        <v>119.1</v>
      </c>
      <c r="G15" s="272">
        <f>(F15*C15)-E15</f>
        <v>234730.4499999999</v>
      </c>
      <c r="H15" s="273">
        <f t="shared" si="8"/>
        <v>46.946329426280052</v>
      </c>
      <c r="I15" s="274" t="s">
        <v>60</v>
      </c>
      <c r="J15" s="70"/>
      <c r="K15" s="71"/>
      <c r="L15" s="71"/>
      <c r="M15" s="74" t="s">
        <v>84</v>
      </c>
      <c r="O15" s="20"/>
    </row>
    <row r="16" spans="1:16" ht="34.5" customHeight="1">
      <c r="A16" s="276" t="s">
        <v>80</v>
      </c>
      <c r="B16" s="277" t="s">
        <v>83</v>
      </c>
      <c r="C16" s="278">
        <f>1686+2057</f>
        <v>3743</v>
      </c>
      <c r="D16" s="269">
        <f>E16/C16</f>
        <v>267.46119422922789</v>
      </c>
      <c r="E16" s="280">
        <f>500742+500365.25</f>
        <v>1001107.25</v>
      </c>
      <c r="F16" s="285">
        <v>298.5</v>
      </c>
      <c r="G16" s="272">
        <f>(F16*C16)-E16</f>
        <v>116178.25</v>
      </c>
      <c r="H16" s="273">
        <f t="shared" si="8"/>
        <v>11.604975390998318</v>
      </c>
      <c r="I16" s="274" t="s">
        <v>60</v>
      </c>
      <c r="J16" s="70"/>
      <c r="K16" s="70"/>
      <c r="L16" s="71"/>
      <c r="M16" s="74" t="s">
        <v>84</v>
      </c>
      <c r="O16" s="20"/>
    </row>
    <row r="17" spans="1:15" ht="34.5" customHeight="1">
      <c r="A17" s="276" t="s">
        <v>93</v>
      </c>
      <c r="B17" s="277" t="s">
        <v>94</v>
      </c>
      <c r="C17" s="278">
        <f>540+769</f>
        <v>1309</v>
      </c>
      <c r="D17" s="279">
        <f>E17/C17</f>
        <v>755.55508021390369</v>
      </c>
      <c r="E17" s="280">
        <f>491940+497081.6</f>
        <v>989021.6</v>
      </c>
      <c r="F17" s="285">
        <v>594.75</v>
      </c>
      <c r="G17" s="282">
        <f>(F17*C17)-E17</f>
        <v>-210493.84999999998</v>
      </c>
      <c r="H17" s="283">
        <f t="shared" ref="H17" si="9">(G17/E17)*100</f>
        <v>-21.283038712197992</v>
      </c>
      <c r="I17" s="284" t="s">
        <v>60</v>
      </c>
      <c r="J17" s="70"/>
      <c r="K17" s="71"/>
      <c r="L17" s="71"/>
      <c r="M17" s="74" t="s">
        <v>84</v>
      </c>
      <c r="O17" s="20"/>
    </row>
    <row r="18" spans="1:15" ht="34.5" customHeight="1">
      <c r="A18" s="276">
        <v>42965</v>
      </c>
      <c r="B18" s="277" t="s">
        <v>202</v>
      </c>
      <c r="C18" s="278">
        <f>825+1344</f>
        <v>2169</v>
      </c>
      <c r="D18" s="279">
        <f>E18/C18</f>
        <v>573.99751037344402</v>
      </c>
      <c r="E18" s="280">
        <f>495840.85+749159.75</f>
        <v>1245000.6000000001</v>
      </c>
      <c r="F18" s="285">
        <v>606.45000000000005</v>
      </c>
      <c r="G18" s="286">
        <f>(F18*C18)-E18</f>
        <v>70389.449999999953</v>
      </c>
      <c r="H18" s="274">
        <f>(G18/E18)*100</f>
        <v>5.6537683596297015</v>
      </c>
      <c r="I18" s="284" t="s">
        <v>60</v>
      </c>
      <c r="J18" s="70"/>
      <c r="K18" s="71"/>
      <c r="L18" s="116"/>
      <c r="M18" s="74" t="s">
        <v>154</v>
      </c>
      <c r="O18" s="20"/>
    </row>
    <row r="19" spans="1:15" ht="34.5" customHeight="1" thickBot="1">
      <c r="A19" s="276">
        <v>42998</v>
      </c>
      <c r="B19" s="277" t="s">
        <v>215</v>
      </c>
      <c r="C19" s="278">
        <f>886+1012</f>
        <v>1898</v>
      </c>
      <c r="D19" s="279">
        <f t="shared" ref="D19" si="10">E19/C19</f>
        <v>781.84135932560582</v>
      </c>
      <c r="E19" s="280">
        <f>742204.85+741730.05</f>
        <v>1483934.9</v>
      </c>
      <c r="F19" s="285">
        <v>762.7</v>
      </c>
      <c r="G19" s="286">
        <f t="shared" ref="G19" si="11">(F19*C19)-E19</f>
        <v>-36330.299999999814</v>
      </c>
      <c r="H19" s="274">
        <f t="shared" ref="H19" si="12">(G19/E19)*100</f>
        <v>-2.4482408224242058</v>
      </c>
      <c r="I19" s="284" t="s">
        <v>60</v>
      </c>
      <c r="J19" s="70"/>
      <c r="K19" s="71"/>
      <c r="L19" s="116"/>
      <c r="M19" s="74" t="s">
        <v>154</v>
      </c>
      <c r="O19" s="20"/>
    </row>
    <row r="20" spans="1:15" ht="36.75" customHeight="1" thickBot="1">
      <c r="A20" s="374" t="s">
        <v>137</v>
      </c>
      <c r="B20" s="375"/>
      <c r="C20" s="375"/>
      <c r="D20" s="376"/>
      <c r="E20" s="287">
        <f>SUM(E14:E19)</f>
        <v>6252873.0999999996</v>
      </c>
      <c r="F20" s="288"/>
      <c r="G20" s="289">
        <f>SUM(G14:G19)</f>
        <v>267063.09999999992</v>
      </c>
      <c r="H20" s="290">
        <f t="shared" si="8"/>
        <v>4.2710462171381653</v>
      </c>
      <c r="I20" s="92"/>
      <c r="J20" s="93"/>
      <c r="K20" s="94"/>
      <c r="L20" s="94"/>
      <c r="M20" s="95"/>
      <c r="O20" s="20"/>
    </row>
    <row r="21" spans="1:15" ht="9.75" customHeight="1">
      <c r="A21" s="86"/>
      <c r="B21" s="87"/>
      <c r="C21" s="88"/>
      <c r="D21" s="13"/>
      <c r="E21" s="133"/>
      <c r="F21" s="89"/>
      <c r="G21" s="136"/>
      <c r="H21" s="64"/>
      <c r="I21" s="90"/>
      <c r="J21" s="87"/>
      <c r="K21" s="88"/>
      <c r="L21" s="88"/>
      <c r="M21" s="91"/>
      <c r="O21" s="20"/>
    </row>
    <row r="22" spans="1:15" ht="34.5" customHeight="1">
      <c r="A22" s="276">
        <v>43011</v>
      </c>
      <c r="B22" s="277" t="s">
        <v>118</v>
      </c>
      <c r="C22" s="278">
        <v>872</v>
      </c>
      <c r="D22" s="279">
        <f t="shared" ref="D22:D23" si="13">E22/C22</f>
        <v>851.36783256880733</v>
      </c>
      <c r="E22" s="280">
        <v>742392.75</v>
      </c>
      <c r="F22" s="285">
        <v>822.95</v>
      </c>
      <c r="G22" s="286">
        <f t="shared" ref="G22" si="14">(F22*C22)-E22</f>
        <v>-24780.349999999977</v>
      </c>
      <c r="H22" s="274">
        <f t="shared" ref="H22" si="15">(G22/E22)*100</f>
        <v>-3.3379030169677679</v>
      </c>
      <c r="I22" s="284" t="s">
        <v>62</v>
      </c>
      <c r="J22" s="70"/>
      <c r="K22" s="71"/>
      <c r="L22" s="116"/>
      <c r="M22" s="74" t="s">
        <v>154</v>
      </c>
      <c r="O22" s="20"/>
    </row>
    <row r="23" spans="1:15" ht="34.5" customHeight="1">
      <c r="A23" s="276">
        <v>43012</v>
      </c>
      <c r="B23" s="277" t="s">
        <v>228</v>
      </c>
      <c r="C23" s="278">
        <v>3053</v>
      </c>
      <c r="D23" s="279">
        <f t="shared" si="13"/>
        <v>256.04803471994762</v>
      </c>
      <c r="E23" s="280">
        <v>781714.65</v>
      </c>
      <c r="F23" s="285">
        <v>243.45</v>
      </c>
      <c r="G23" s="286">
        <f t="shared" ref="G23" si="16">(F23*C23)-E23</f>
        <v>-38461.800000000047</v>
      </c>
      <c r="H23" s="274">
        <f t="shared" ref="H23" si="17">(G23/E23)*100</f>
        <v>-4.9201841106598225</v>
      </c>
      <c r="I23" s="284" t="s">
        <v>62</v>
      </c>
      <c r="J23" s="70"/>
      <c r="K23" s="71"/>
      <c r="L23" s="116"/>
      <c r="M23" s="74" t="s">
        <v>154</v>
      </c>
      <c r="O23" s="20"/>
    </row>
    <row r="24" spans="1:15" ht="34.5" customHeight="1">
      <c r="A24" s="276">
        <v>43024</v>
      </c>
      <c r="B24" s="277" t="s">
        <v>239</v>
      </c>
      <c r="C24" s="278">
        <v>966</v>
      </c>
      <c r="D24" s="279">
        <f t="shared" ref="D24" si="18">E24/C24</f>
        <v>770.04606625258805</v>
      </c>
      <c r="E24" s="280">
        <v>743864.5</v>
      </c>
      <c r="F24" s="285">
        <v>743.45</v>
      </c>
      <c r="G24" s="286">
        <f t="shared" ref="G24" si="19">(F24*C24)-E24</f>
        <v>-25691.79999999993</v>
      </c>
      <c r="H24" s="274">
        <f t="shared" ref="H24" si="20">(G24/E24)*100</f>
        <v>-3.4538279485040526</v>
      </c>
      <c r="I24" s="284" t="s">
        <v>62</v>
      </c>
      <c r="J24" s="70"/>
      <c r="K24" s="71"/>
      <c r="L24" s="116"/>
      <c r="M24" s="74"/>
      <c r="O24" s="20"/>
    </row>
    <row r="25" spans="1:15" ht="34.5" customHeight="1">
      <c r="A25" s="276">
        <v>43046</v>
      </c>
      <c r="B25" s="277" t="s">
        <v>248</v>
      </c>
      <c r="C25" s="278">
        <v>860</v>
      </c>
      <c r="D25" s="279">
        <f t="shared" ref="D25:D27" si="21">E25/C25</f>
        <v>862.49895348837208</v>
      </c>
      <c r="E25" s="280">
        <v>741749.1</v>
      </c>
      <c r="F25" s="285">
        <v>885.1</v>
      </c>
      <c r="G25" s="286">
        <f t="shared" ref="G25" si="22">(F25*C25)-E25</f>
        <v>19436.900000000023</v>
      </c>
      <c r="H25" s="274">
        <f t="shared" ref="H25" si="23">(G25/E25)*100</f>
        <v>2.6204143692253923</v>
      </c>
      <c r="I25" s="284" t="s">
        <v>62</v>
      </c>
      <c r="J25" s="70"/>
      <c r="K25" s="71"/>
      <c r="L25" s="116"/>
      <c r="M25" s="74"/>
      <c r="O25" s="20"/>
    </row>
    <row r="26" spans="1:15" ht="34.5" customHeight="1">
      <c r="A26" s="276">
        <v>43052</v>
      </c>
      <c r="B26" s="277" t="s">
        <v>247</v>
      </c>
      <c r="C26" s="278">
        <f>3333+3712</f>
        <v>7045</v>
      </c>
      <c r="D26" s="279">
        <f t="shared" si="21"/>
        <v>212.81763662171753</v>
      </c>
      <c r="E26" s="280">
        <f>749925+749375.25</f>
        <v>1499300.25</v>
      </c>
      <c r="F26" s="285">
        <v>202.95</v>
      </c>
      <c r="G26" s="286">
        <f t="shared" ref="G26" si="24">(F26*C26)-E26</f>
        <v>-69517.5</v>
      </c>
      <c r="H26" s="274">
        <f t="shared" ref="H26" si="25">(G26/E26)*100</f>
        <v>-4.6366630032910354</v>
      </c>
      <c r="I26" s="284" t="s">
        <v>62</v>
      </c>
      <c r="J26" s="70"/>
      <c r="K26" s="71"/>
      <c r="L26" s="116"/>
      <c r="M26" s="74"/>
      <c r="O26" s="20"/>
    </row>
    <row r="27" spans="1:15" ht="34.5" customHeight="1">
      <c r="A27" s="276">
        <v>43055</v>
      </c>
      <c r="B27" s="277" t="s">
        <v>229</v>
      </c>
      <c r="C27" s="278">
        <v>1213</v>
      </c>
      <c r="D27" s="279">
        <f t="shared" si="21"/>
        <v>616.5886644682605</v>
      </c>
      <c r="E27" s="280">
        <v>747922.05</v>
      </c>
      <c r="F27" s="285">
        <v>655.9</v>
      </c>
      <c r="G27" s="286">
        <f t="shared" ref="G27" si="26">(F27*C27)-E27</f>
        <v>47684.649999999907</v>
      </c>
      <c r="H27" s="274">
        <f t="shared" ref="H27" si="27">(G27/E27)*100</f>
        <v>6.375617619509935</v>
      </c>
      <c r="I27" s="284" t="s">
        <v>62</v>
      </c>
      <c r="J27" s="70"/>
      <c r="K27" s="71"/>
      <c r="L27" s="116"/>
      <c r="M27" s="74"/>
      <c r="O27" s="20"/>
    </row>
    <row r="28" spans="1:15" ht="34.5" customHeight="1">
      <c r="A28" s="276">
        <v>43066</v>
      </c>
      <c r="B28" s="277" t="s">
        <v>272</v>
      </c>
      <c r="C28" s="278">
        <v>789</v>
      </c>
      <c r="D28" s="279">
        <f t="shared" ref="D28:D29" si="28">E28/C28</f>
        <v>949.75690747781994</v>
      </c>
      <c r="E28" s="280">
        <v>749358.2</v>
      </c>
      <c r="F28" s="285">
        <v>977.15</v>
      </c>
      <c r="G28" s="286">
        <f t="shared" ref="G28" si="29">(F28*C28)-E28</f>
        <v>21613.150000000023</v>
      </c>
      <c r="H28" s="274">
        <f t="shared" ref="H28" si="30">(G28/E28)*100</f>
        <v>2.8842214577754701</v>
      </c>
      <c r="I28" s="284" t="s">
        <v>62</v>
      </c>
      <c r="J28" s="70"/>
      <c r="K28" s="71"/>
      <c r="L28" s="116"/>
      <c r="M28" s="74"/>
      <c r="O28" s="20"/>
    </row>
    <row r="29" spans="1:15" ht="34.5" customHeight="1">
      <c r="A29" s="276">
        <v>43067</v>
      </c>
      <c r="B29" s="277" t="s">
        <v>273</v>
      </c>
      <c r="C29" s="278">
        <v>1054</v>
      </c>
      <c r="D29" s="279">
        <f t="shared" si="28"/>
        <v>709.44895635673618</v>
      </c>
      <c r="E29" s="280">
        <v>747759.2</v>
      </c>
      <c r="F29" s="285">
        <v>732.4</v>
      </c>
      <c r="G29" s="286">
        <f t="shared" ref="G29" si="31">(F29*C29)-E29</f>
        <v>24190.400000000023</v>
      </c>
      <c r="H29" s="274">
        <f t="shared" ref="H29" si="32">(G29/E29)*100</f>
        <v>3.2350521397797616</v>
      </c>
      <c r="I29" s="284" t="s">
        <v>62</v>
      </c>
      <c r="J29" s="70"/>
      <c r="K29" s="71"/>
      <c r="L29" s="116"/>
      <c r="M29" s="74"/>
      <c r="O29" s="20"/>
    </row>
    <row r="30" spans="1:15" ht="34.5" customHeight="1">
      <c r="A30" s="276">
        <v>43073</v>
      </c>
      <c r="B30" s="277" t="s">
        <v>277</v>
      </c>
      <c r="C30" s="278">
        <v>3024</v>
      </c>
      <c r="D30" s="279">
        <f t="shared" ref="D30:D34" si="33">E30/C30</f>
        <v>248.47347883597885</v>
      </c>
      <c r="E30" s="280">
        <v>751383.8</v>
      </c>
      <c r="F30" s="285">
        <v>244.65</v>
      </c>
      <c r="G30" s="286">
        <f t="shared" ref="G30:G31" si="34">(F30*C30)-E30</f>
        <v>-11562.20000000007</v>
      </c>
      <c r="H30" s="274">
        <f t="shared" ref="H30:H31" si="35">(G30/E30)*100</f>
        <v>-1.5387875011412369</v>
      </c>
      <c r="I30" s="284" t="s">
        <v>62</v>
      </c>
      <c r="J30" s="70"/>
      <c r="K30" s="71"/>
      <c r="L30" s="116"/>
      <c r="M30" s="74"/>
      <c r="O30" s="20"/>
    </row>
    <row r="31" spans="1:15" ht="34.5" customHeight="1">
      <c r="A31" s="276">
        <v>43081</v>
      </c>
      <c r="B31" s="277" t="s">
        <v>278</v>
      </c>
      <c r="C31" s="278">
        <v>2118</v>
      </c>
      <c r="D31" s="279">
        <f t="shared" si="33"/>
        <v>355.8113078375826</v>
      </c>
      <c r="E31" s="280">
        <v>753608.35</v>
      </c>
      <c r="F31" s="285">
        <v>355</v>
      </c>
      <c r="G31" s="286">
        <f t="shared" si="34"/>
        <v>-1718.3499999999767</v>
      </c>
      <c r="H31" s="274">
        <f t="shared" si="35"/>
        <v>-0.22801631643279652</v>
      </c>
      <c r="I31" s="284" t="s">
        <v>62</v>
      </c>
      <c r="J31" s="70"/>
      <c r="K31" s="71"/>
      <c r="L31" s="116"/>
      <c r="M31" s="74"/>
      <c r="O31" s="20"/>
    </row>
    <row r="32" spans="1:15" ht="34.5" customHeight="1">
      <c r="A32" s="276">
        <v>43087</v>
      </c>
      <c r="B32" s="277" t="s">
        <v>279</v>
      </c>
      <c r="C32" s="278">
        <v>474</v>
      </c>
      <c r="D32" s="279">
        <f t="shared" si="33"/>
        <v>1579.7912447257386</v>
      </c>
      <c r="E32" s="280">
        <v>748821.05</v>
      </c>
      <c r="F32" s="285">
        <v>1592.7</v>
      </c>
      <c r="G32" s="286">
        <f t="shared" ref="G32:G34" si="36">(F32*C32)-E32</f>
        <v>6118.75</v>
      </c>
      <c r="H32" s="274">
        <f t="shared" ref="H32:H34" si="37">(G32/E32)*100</f>
        <v>0.81711778802158397</v>
      </c>
      <c r="I32" s="284" t="s">
        <v>62</v>
      </c>
      <c r="J32" s="70"/>
      <c r="K32" s="71"/>
      <c r="L32" s="116"/>
      <c r="M32" s="74"/>
      <c r="O32" s="20"/>
    </row>
    <row r="33" spans="1:15" ht="34.5" customHeight="1">
      <c r="A33" s="276">
        <v>43089</v>
      </c>
      <c r="B33" s="277" t="s">
        <v>293</v>
      </c>
      <c r="C33" s="278">
        <v>2106</v>
      </c>
      <c r="D33" s="279">
        <f t="shared" si="33"/>
        <v>356.5485992402659</v>
      </c>
      <c r="E33" s="280">
        <v>750891.35</v>
      </c>
      <c r="F33" s="285">
        <v>351.35</v>
      </c>
      <c r="G33" s="286">
        <f t="shared" si="36"/>
        <v>-10948.249999999884</v>
      </c>
      <c r="H33" s="274">
        <f t="shared" si="37"/>
        <v>-1.4580338420465069</v>
      </c>
      <c r="I33" s="284" t="s">
        <v>62</v>
      </c>
      <c r="J33" s="70"/>
      <c r="K33" s="71"/>
      <c r="L33" s="116"/>
      <c r="M33" s="74"/>
      <c r="O33" s="20"/>
    </row>
    <row r="34" spans="1:15" ht="34.5" customHeight="1">
      <c r="A34" s="276">
        <v>43091</v>
      </c>
      <c r="B34" s="277" t="s">
        <v>295</v>
      </c>
      <c r="C34" s="278">
        <v>956</v>
      </c>
      <c r="D34" s="279">
        <f t="shared" si="33"/>
        <v>783.0365062761507</v>
      </c>
      <c r="E34" s="280">
        <v>748582.9</v>
      </c>
      <c r="F34" s="285">
        <v>785.6</v>
      </c>
      <c r="G34" s="286">
        <f t="shared" si="36"/>
        <v>2450.6999999999534</v>
      </c>
      <c r="H34" s="274">
        <f t="shared" si="37"/>
        <v>0.32737857089708478</v>
      </c>
      <c r="I34" s="284" t="s">
        <v>62</v>
      </c>
      <c r="J34" s="70"/>
      <c r="K34" s="71"/>
      <c r="L34" s="116"/>
      <c r="M34" s="74"/>
      <c r="O34" s="20"/>
    </row>
    <row r="35" spans="1:15" ht="34.5" customHeight="1">
      <c r="A35" s="276">
        <v>43096</v>
      </c>
      <c r="B35" s="277" t="s">
        <v>299</v>
      </c>
      <c r="C35" s="278">
        <v>2180</v>
      </c>
      <c r="D35" s="279">
        <f t="shared" ref="D35" si="38">E35/C35</f>
        <v>343.2530733944954</v>
      </c>
      <c r="E35" s="280">
        <v>748291.7</v>
      </c>
      <c r="F35" s="285">
        <v>339.25</v>
      </c>
      <c r="G35" s="286">
        <f t="shared" ref="G35" si="39">(F35*C35)-E35</f>
        <v>-8726.6999999999534</v>
      </c>
      <c r="H35" s="274">
        <f t="shared" ref="H35" si="40">(G35/E35)*100</f>
        <v>-1.1662163298082757</v>
      </c>
      <c r="I35" s="284" t="s">
        <v>62</v>
      </c>
      <c r="J35" s="70"/>
      <c r="K35" s="71"/>
      <c r="L35" s="116"/>
      <c r="M35" s="74"/>
      <c r="O35" s="20"/>
    </row>
    <row r="36" spans="1:15" ht="6.75" customHeight="1" thickBot="1">
      <c r="A36" s="72"/>
      <c r="B36" s="70"/>
      <c r="C36" s="71"/>
      <c r="D36" s="83"/>
      <c r="E36" s="132"/>
      <c r="F36" s="73"/>
      <c r="G36" s="137"/>
      <c r="H36" s="84"/>
      <c r="I36" s="85"/>
      <c r="J36" s="70"/>
      <c r="K36" s="71"/>
      <c r="L36" s="71"/>
      <c r="M36" s="74"/>
      <c r="O36" s="20"/>
    </row>
    <row r="37" spans="1:15" ht="36.75" customHeight="1" thickBot="1">
      <c r="A37" s="374" t="s">
        <v>138</v>
      </c>
      <c r="B37" s="375"/>
      <c r="C37" s="375"/>
      <c r="D37" s="376"/>
      <c r="E37" s="287">
        <f>SUM(E22:E36)</f>
        <v>11255639.85</v>
      </c>
      <c r="F37" s="288"/>
      <c r="G37" s="289">
        <f>SUM(G22:G36)</f>
        <v>-69912.399999999907</v>
      </c>
      <c r="H37" s="290">
        <f>(G37/E37)*100</f>
        <v>-0.6211321695763028</v>
      </c>
      <c r="I37" s="92"/>
      <c r="J37" s="93"/>
      <c r="K37" s="94"/>
      <c r="L37" s="94"/>
      <c r="M37" s="95"/>
      <c r="O37" s="20"/>
    </row>
    <row r="38" spans="1:15" ht="15" customHeight="1">
      <c r="A38" s="86"/>
      <c r="B38" s="96"/>
      <c r="C38" s="97"/>
      <c r="D38" s="98"/>
      <c r="E38" s="134"/>
      <c r="F38" s="99"/>
      <c r="G38" s="138"/>
      <c r="H38" s="62"/>
      <c r="I38" s="100"/>
      <c r="J38" s="96"/>
      <c r="K38" s="97"/>
      <c r="L38" s="97"/>
      <c r="M38" s="101"/>
      <c r="O38" s="20"/>
    </row>
    <row r="39" spans="1:15" ht="18" customHeight="1" thickBot="1">
      <c r="A39" s="19"/>
      <c r="B39" s="18"/>
      <c r="C39" s="18"/>
      <c r="D39" s="18"/>
      <c r="E39" s="135"/>
      <c r="F39" s="17"/>
      <c r="G39" s="139"/>
      <c r="H39" s="16"/>
      <c r="I39" s="16"/>
      <c r="J39" s="18"/>
      <c r="K39" s="18"/>
      <c r="L39" s="18"/>
      <c r="M39" s="15"/>
    </row>
    <row r="40" spans="1:15" ht="18.75">
      <c r="E40" s="294">
        <f>E37+E20+E12</f>
        <v>26690093.053099997</v>
      </c>
      <c r="F40" s="295"/>
      <c r="G40" s="296">
        <f>G37+G20+G12</f>
        <v>1671735.3468999998</v>
      </c>
      <c r="H40" s="297">
        <f>(G40/E40)</f>
        <v>6.263505127442151E-2</v>
      </c>
      <c r="I40" s="61"/>
    </row>
    <row r="41" spans="1:15" ht="18.75">
      <c r="E41" s="298"/>
      <c r="F41" s="298"/>
      <c r="G41" s="298"/>
      <c r="H41" s="298"/>
    </row>
    <row r="42" spans="1:15" ht="18.75">
      <c r="E42" s="298"/>
      <c r="F42" s="298"/>
      <c r="G42" s="299">
        <f>E40+G40</f>
        <v>28361828.399999999</v>
      </c>
      <c r="H42" s="298"/>
    </row>
    <row r="44" spans="1:15">
      <c r="G44" s="42"/>
    </row>
    <row r="45" spans="1:15">
      <c r="E45" s="14"/>
      <c r="F45" s="14"/>
      <c r="G45" s="14"/>
      <c r="H45" s="14"/>
      <c r="I45" s="14"/>
    </row>
  </sheetData>
  <mergeCells count="5">
    <mergeCell ref="A1:M1"/>
    <mergeCell ref="J2:L2"/>
    <mergeCell ref="A12:D12"/>
    <mergeCell ref="A20:D20"/>
    <mergeCell ref="A37:D37"/>
  </mergeCells>
  <phoneticPr fontId="37" type="noConversion"/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zoomScale="80" zoomScaleNormal="80" workbookViewId="0">
      <pane ySplit="3" topLeftCell="A19" activePane="bottomLeft" state="frozen"/>
      <selection pane="bottomLeft" activeCell="H26" sqref="H26"/>
    </sheetView>
  </sheetViews>
  <sheetFormatPr defaultColWidth="9.140625" defaultRowHeight="15"/>
  <cols>
    <col min="1" max="1" width="11.28515625" style="215" customWidth="1"/>
    <col min="2" max="2" width="13.5703125" style="215" customWidth="1"/>
    <col min="3" max="3" width="8.7109375" style="215" customWidth="1"/>
    <col min="4" max="4" width="9.85546875" style="215" bestFit="1" customWidth="1"/>
    <col min="5" max="5" width="14.42578125" style="215" bestFit="1" customWidth="1"/>
    <col min="6" max="6" width="9.85546875" style="215" customWidth="1"/>
    <col min="7" max="7" width="13.140625" style="215" bestFit="1" customWidth="1"/>
    <col min="8" max="8" width="13.85546875" style="215" bestFit="1" customWidth="1"/>
    <col min="9" max="9" width="9.7109375" style="215" customWidth="1"/>
    <col min="10" max="10" width="38.28515625" style="215" customWidth="1"/>
    <col min="11" max="11" width="9.140625" style="215"/>
    <col min="12" max="12" width="13.28515625" style="215" bestFit="1" customWidth="1"/>
    <col min="13" max="16384" width="9.140625" style="215"/>
  </cols>
  <sheetData>
    <row r="1" spans="1:10" ht="19.5">
      <c r="A1" s="377" t="s">
        <v>304</v>
      </c>
      <c r="B1" s="378"/>
      <c r="C1" s="378"/>
      <c r="D1" s="378"/>
      <c r="E1" s="378"/>
      <c r="F1" s="378"/>
      <c r="G1" s="378"/>
      <c r="H1" s="378"/>
      <c r="I1" s="378"/>
      <c r="J1" s="378"/>
    </row>
    <row r="2" spans="1:10" ht="6" customHeight="1" thickBot="1">
      <c r="A2" s="216"/>
      <c r="B2" s="216"/>
      <c r="C2" s="216"/>
      <c r="D2" s="216"/>
      <c r="E2" s="216"/>
      <c r="F2" s="216"/>
      <c r="G2" s="216"/>
      <c r="H2" s="216"/>
      <c r="I2" s="216"/>
      <c r="J2" s="216"/>
    </row>
    <row r="3" spans="1:10" ht="73.5" customHeight="1" thickBot="1">
      <c r="A3" s="217" t="s">
        <v>0</v>
      </c>
      <c r="B3" s="218" t="s">
        <v>22</v>
      </c>
      <c r="C3" s="218" t="s">
        <v>21</v>
      </c>
      <c r="D3" s="218" t="s">
        <v>38</v>
      </c>
      <c r="E3" s="218" t="s">
        <v>20</v>
      </c>
      <c r="F3" s="219" t="s">
        <v>51</v>
      </c>
      <c r="G3" s="219" t="s">
        <v>52</v>
      </c>
      <c r="H3" s="219" t="s">
        <v>107</v>
      </c>
      <c r="I3" s="219" t="s">
        <v>108</v>
      </c>
      <c r="J3" s="220" t="s">
        <v>2</v>
      </c>
    </row>
    <row r="4" spans="1:10" ht="45" customHeight="1">
      <c r="A4" s="221" t="s">
        <v>50</v>
      </c>
      <c r="B4" s="222" t="s">
        <v>35</v>
      </c>
      <c r="C4" s="223">
        <v>41</v>
      </c>
      <c r="D4" s="224">
        <v>22495</v>
      </c>
      <c r="E4" s="225">
        <f>D4*C4</f>
        <v>922295</v>
      </c>
      <c r="F4" s="226">
        <v>25675.9378</v>
      </c>
      <c r="G4" s="225">
        <f>F4*C4</f>
        <v>1052713.4498000001</v>
      </c>
      <c r="H4" s="227">
        <f>G4-E4</f>
        <v>130418.44980000006</v>
      </c>
      <c r="I4" s="228">
        <f>(H4/E4)*100</f>
        <v>14.140643698599694</v>
      </c>
      <c r="J4" s="229"/>
    </row>
    <row r="5" spans="1:10" ht="45" customHeight="1">
      <c r="A5" s="230" t="s">
        <v>67</v>
      </c>
      <c r="B5" s="231" t="s">
        <v>66</v>
      </c>
      <c r="C5" s="232">
        <v>872</v>
      </c>
      <c r="D5" s="233">
        <v>343.08600917431193</v>
      </c>
      <c r="E5" s="234">
        <f>D5*C5</f>
        <v>299171</v>
      </c>
      <c r="F5" s="235">
        <v>407.47092889908259</v>
      </c>
      <c r="G5" s="234">
        <f>F5*C5</f>
        <v>355314.65</v>
      </c>
      <c r="H5" s="236">
        <v>56143.650000000023</v>
      </c>
      <c r="I5" s="237">
        <v>18.766407840332125</v>
      </c>
      <c r="J5" s="238"/>
    </row>
    <row r="6" spans="1:10" ht="45" customHeight="1">
      <c r="A6" s="239" t="s">
        <v>77</v>
      </c>
      <c r="B6" s="240" t="s">
        <v>79</v>
      </c>
      <c r="C6" s="241">
        <v>1603</v>
      </c>
      <c r="D6" s="242">
        <v>623.5</v>
      </c>
      <c r="E6" s="243">
        <f>D6*C6</f>
        <v>999470.5</v>
      </c>
      <c r="F6" s="244">
        <v>467.59390000000002</v>
      </c>
      <c r="G6" s="243">
        <f>F6*C6</f>
        <v>749553.02170000004</v>
      </c>
      <c r="H6" s="245">
        <f t="shared" ref="H6:H14" si="0">G6-E6</f>
        <v>-249917.47829999996</v>
      </c>
      <c r="I6" s="246">
        <f t="shared" ref="I6:I14" si="1">(H6/E6)*100</f>
        <v>-25.00498797113071</v>
      </c>
      <c r="J6" s="247"/>
    </row>
    <row r="7" spans="1:10" ht="45" customHeight="1">
      <c r="A7" s="248">
        <v>42737</v>
      </c>
      <c r="B7" s="231" t="s">
        <v>37</v>
      </c>
      <c r="C7" s="232">
        <v>155</v>
      </c>
      <c r="D7" s="233">
        <f>E7/C7</f>
        <v>6677.0609677419352</v>
      </c>
      <c r="E7" s="234">
        <v>1034944.45</v>
      </c>
      <c r="F7" s="235">
        <f>G7/C7</f>
        <v>7007.2987096774195</v>
      </c>
      <c r="G7" s="234">
        <v>1086131.3</v>
      </c>
      <c r="H7" s="245">
        <f t="shared" si="0"/>
        <v>51186.850000000093</v>
      </c>
      <c r="I7" s="246">
        <f t="shared" si="1"/>
        <v>4.9458548234158943</v>
      </c>
      <c r="J7" s="238"/>
    </row>
    <row r="8" spans="1:10" ht="45" customHeight="1">
      <c r="A8" s="248">
        <v>42741</v>
      </c>
      <c r="B8" s="240" t="s">
        <v>115</v>
      </c>
      <c r="C8" s="241">
        <v>854</v>
      </c>
      <c r="D8" s="233">
        <f>E8/C8</f>
        <v>292.93161592505857</v>
      </c>
      <c r="E8" s="243">
        <v>250163.6</v>
      </c>
      <c r="F8" s="235">
        <f>G8/C8</f>
        <v>271.88659250585482</v>
      </c>
      <c r="G8" s="243">
        <v>232191.15</v>
      </c>
      <c r="H8" s="245">
        <f t="shared" si="0"/>
        <v>-17972.450000000012</v>
      </c>
      <c r="I8" s="246">
        <f t="shared" si="1"/>
        <v>-7.184278608078877</v>
      </c>
      <c r="J8" s="247"/>
    </row>
    <row r="9" spans="1:10" ht="45" customHeight="1">
      <c r="A9" s="248">
        <v>42747</v>
      </c>
      <c r="B9" s="240" t="s">
        <v>116</v>
      </c>
      <c r="C9" s="241">
        <v>416</v>
      </c>
      <c r="D9" s="233">
        <f>E9/C9</f>
        <v>480</v>
      </c>
      <c r="E9" s="243">
        <v>199680</v>
      </c>
      <c r="F9" s="235">
        <f>G9/C9</f>
        <v>501.38713942307692</v>
      </c>
      <c r="G9" s="243">
        <v>208577.05</v>
      </c>
      <c r="H9" s="245">
        <f t="shared" si="0"/>
        <v>8897.0499999999884</v>
      </c>
      <c r="I9" s="246">
        <f t="shared" si="1"/>
        <v>4.4556540464743533</v>
      </c>
      <c r="J9" s="247"/>
    </row>
    <row r="10" spans="1:10" ht="45" customHeight="1">
      <c r="A10" s="248">
        <v>42773</v>
      </c>
      <c r="B10" s="240" t="s">
        <v>114</v>
      </c>
      <c r="C10" s="241">
        <v>3546</v>
      </c>
      <c r="D10" s="233">
        <f>E10/C10</f>
        <v>282.84698251551043</v>
      </c>
      <c r="E10" s="243">
        <v>1002975.4</v>
      </c>
      <c r="F10" s="235">
        <f>G10/C10</f>
        <v>309.09165256627188</v>
      </c>
      <c r="G10" s="243">
        <v>1096039</v>
      </c>
      <c r="H10" s="245">
        <f t="shared" si="0"/>
        <v>93063.599999999977</v>
      </c>
      <c r="I10" s="246">
        <f t="shared" si="1"/>
        <v>9.2787520012953433</v>
      </c>
      <c r="J10" s="247"/>
    </row>
    <row r="11" spans="1:10" ht="45" customHeight="1">
      <c r="A11" s="248" t="s">
        <v>127</v>
      </c>
      <c r="B11" s="240" t="s">
        <v>118</v>
      </c>
      <c r="C11" s="241">
        <v>1000</v>
      </c>
      <c r="D11" s="242">
        <v>1000</v>
      </c>
      <c r="E11" s="243">
        <v>1000000</v>
      </c>
      <c r="F11" s="244">
        <v>1176.0907500000001</v>
      </c>
      <c r="G11" s="243">
        <v>1176090.75</v>
      </c>
      <c r="H11" s="245">
        <f t="shared" si="0"/>
        <v>176090.75</v>
      </c>
      <c r="I11" s="246">
        <f t="shared" si="1"/>
        <v>17.609075000000001</v>
      </c>
      <c r="J11" s="247"/>
    </row>
    <row r="12" spans="1:10" ht="45" customHeight="1">
      <c r="A12" s="248" t="s">
        <v>129</v>
      </c>
      <c r="B12" s="240" t="s">
        <v>90</v>
      </c>
      <c r="C12" s="241">
        <v>2906</v>
      </c>
      <c r="D12" s="242">
        <f>E12/C12</f>
        <v>340.93940123881623</v>
      </c>
      <c r="E12" s="243">
        <v>990769.9</v>
      </c>
      <c r="F12" s="244">
        <v>412.17520646937368</v>
      </c>
      <c r="G12" s="243">
        <f>F12*C12</f>
        <v>1197781.1499999999</v>
      </c>
      <c r="H12" s="245">
        <f t="shared" si="0"/>
        <v>207011.24999999988</v>
      </c>
      <c r="I12" s="246">
        <f t="shared" si="1"/>
        <v>20.893978511054875</v>
      </c>
      <c r="J12" s="247"/>
    </row>
    <row r="13" spans="1:10" ht="45" customHeight="1">
      <c r="A13" s="248" t="s">
        <v>133</v>
      </c>
      <c r="B13" s="240" t="s">
        <v>82</v>
      </c>
      <c r="C13" s="241">
        <f>2212</f>
        <v>2212</v>
      </c>
      <c r="D13" s="242">
        <f>E13/C13</f>
        <v>451.98458408679926</v>
      </c>
      <c r="E13" s="243">
        <v>999789.9</v>
      </c>
      <c r="F13" s="235">
        <f t="shared" ref="F13:F18" si="2">G13/C13</f>
        <v>491.9407549728752</v>
      </c>
      <c r="G13" s="243">
        <v>1088172.95</v>
      </c>
      <c r="H13" s="245">
        <f t="shared" si="0"/>
        <v>88383.04999999993</v>
      </c>
      <c r="I13" s="246">
        <f t="shared" si="1"/>
        <v>8.840162318103026</v>
      </c>
      <c r="J13" s="247"/>
    </row>
    <row r="14" spans="1:10" ht="45" customHeight="1">
      <c r="A14" s="248" t="s">
        <v>143</v>
      </c>
      <c r="B14" s="240" t="s">
        <v>144</v>
      </c>
      <c r="C14" s="241">
        <v>718</v>
      </c>
      <c r="D14" s="242">
        <v>1404.1370473537604</v>
      </c>
      <c r="E14" s="243">
        <v>1008170.4</v>
      </c>
      <c r="F14" s="235">
        <f t="shared" si="2"/>
        <v>1465.0304317548748</v>
      </c>
      <c r="G14" s="243">
        <v>1051891.8500000001</v>
      </c>
      <c r="H14" s="245">
        <f t="shared" si="0"/>
        <v>43721.45000000007</v>
      </c>
      <c r="I14" s="246">
        <f t="shared" si="1"/>
        <v>4.336712325614803</v>
      </c>
      <c r="J14" s="247"/>
    </row>
    <row r="15" spans="1:10" ht="45" customHeight="1">
      <c r="A15" s="248">
        <v>42835</v>
      </c>
      <c r="B15" s="240" t="s">
        <v>148</v>
      </c>
      <c r="C15" s="241">
        <v>2825</v>
      </c>
      <c r="D15" s="242">
        <f>E15/C15</f>
        <v>353.25088495575221</v>
      </c>
      <c r="E15" s="243">
        <v>997933.75</v>
      </c>
      <c r="F15" s="235">
        <f t="shared" si="2"/>
        <v>486.75</v>
      </c>
      <c r="G15" s="243">
        <v>1375068.75</v>
      </c>
      <c r="H15" s="245">
        <f>G15-E15</f>
        <v>377135</v>
      </c>
      <c r="I15" s="246">
        <f>(H15/E15)*100</f>
        <v>37.791586866362621</v>
      </c>
      <c r="J15" s="247"/>
    </row>
    <row r="16" spans="1:10" ht="45" customHeight="1">
      <c r="A16" s="248">
        <v>42853</v>
      </c>
      <c r="B16" s="240" t="s">
        <v>150</v>
      </c>
      <c r="C16" s="241">
        <v>4228</v>
      </c>
      <c r="D16" s="242">
        <f>E16/C16</f>
        <v>236.40610217596972</v>
      </c>
      <c r="E16" s="243">
        <v>999525</v>
      </c>
      <c r="F16" s="235">
        <f t="shared" si="2"/>
        <v>260.78796121097446</v>
      </c>
      <c r="G16" s="243">
        <f>-'Cash Movement'!E63</f>
        <v>1102611.5</v>
      </c>
      <c r="H16" s="245">
        <f>G16-E16</f>
        <v>103086.5</v>
      </c>
      <c r="I16" s="246">
        <f>(H16/E16)*100</f>
        <v>10.31354893574448</v>
      </c>
      <c r="J16" s="247"/>
    </row>
    <row r="17" spans="1:10" ht="51" customHeight="1">
      <c r="A17" s="248">
        <v>42864</v>
      </c>
      <c r="B17" s="240" t="s">
        <v>142</v>
      </c>
      <c r="C17" s="241">
        <v>779</v>
      </c>
      <c r="D17" s="242">
        <f>E17/C17</f>
        <v>1282.464377406932</v>
      </c>
      <c r="E17" s="243">
        <v>999039.75</v>
      </c>
      <c r="F17" s="244">
        <f t="shared" si="2"/>
        <v>1671.0037227214377</v>
      </c>
      <c r="G17" s="243">
        <v>1301711.8999999999</v>
      </c>
      <c r="H17" s="245">
        <f>G17-E17</f>
        <v>302672.14999999991</v>
      </c>
      <c r="I17" s="246">
        <f>(H17/E17)*100</f>
        <v>30.296307028824423</v>
      </c>
      <c r="J17" s="247"/>
    </row>
    <row r="18" spans="1:10" ht="45" customHeight="1">
      <c r="A18" s="249" t="s">
        <v>157</v>
      </c>
      <c r="B18" s="231" t="s">
        <v>158</v>
      </c>
      <c r="C18" s="232">
        <v>8849</v>
      </c>
      <c r="D18" s="242">
        <f>E18/C18</f>
        <v>113.54660978641654</v>
      </c>
      <c r="E18" s="234">
        <v>1004773.95</v>
      </c>
      <c r="F18" s="244">
        <f t="shared" si="2"/>
        <v>119.90195502316645</v>
      </c>
      <c r="G18" s="234">
        <v>1061012.3999999999</v>
      </c>
      <c r="H18" s="245">
        <f>G18-E18</f>
        <v>56238.449999999953</v>
      </c>
      <c r="I18" s="246">
        <f>(H18/E18)*100</f>
        <v>5.5971246069824909</v>
      </c>
      <c r="J18" s="238"/>
    </row>
    <row r="19" spans="1:10" ht="45" customHeight="1">
      <c r="A19" s="249" t="s">
        <v>164</v>
      </c>
      <c r="B19" s="240" t="s">
        <v>152</v>
      </c>
      <c r="C19" s="241">
        <v>1813</v>
      </c>
      <c r="D19" s="242">
        <v>551.7956425813569</v>
      </c>
      <c r="E19" s="243">
        <v>1000405.5</v>
      </c>
      <c r="F19" s="244">
        <f t="shared" ref="F19:F53" si="3">G19/C19</f>
        <v>528.44291230005513</v>
      </c>
      <c r="G19" s="234">
        <v>958067</v>
      </c>
      <c r="H19" s="250">
        <f>G19-E19</f>
        <v>-42338.5</v>
      </c>
      <c r="I19" s="246">
        <f>(H19/E19)*100</f>
        <v>-4.2321338697158302</v>
      </c>
      <c r="J19" s="247"/>
    </row>
    <row r="20" spans="1:10" ht="45" customHeight="1">
      <c r="A20" s="249" t="s">
        <v>170</v>
      </c>
      <c r="B20" s="240" t="s">
        <v>134</v>
      </c>
      <c r="C20" s="241">
        <v>1173</v>
      </c>
      <c r="D20" s="242">
        <v>851.91896845694794</v>
      </c>
      <c r="E20" s="243">
        <v>999300.95</v>
      </c>
      <c r="F20" s="244">
        <f t="shared" si="3"/>
        <v>979.16896845694794</v>
      </c>
      <c r="G20" s="243">
        <v>1148565.2</v>
      </c>
      <c r="H20" s="245">
        <f t="shared" ref="H20:H21" si="4">G20-E20</f>
        <v>149264.25</v>
      </c>
      <c r="I20" s="246">
        <f t="shared" ref="I20:I21" si="5">(H20/E20)*100</f>
        <v>14.936866616608341</v>
      </c>
      <c r="J20" s="247"/>
    </row>
    <row r="21" spans="1:10" ht="45" customHeight="1">
      <c r="A21" s="249" t="s">
        <v>171</v>
      </c>
      <c r="B21" s="240" t="s">
        <v>153</v>
      </c>
      <c r="C21" s="241">
        <v>3984</v>
      </c>
      <c r="D21" s="242">
        <v>251.10579819277109</v>
      </c>
      <c r="E21" s="243">
        <v>1000405.5</v>
      </c>
      <c r="F21" s="244">
        <f t="shared" si="3"/>
        <v>281.88431224899603</v>
      </c>
      <c r="G21" s="243">
        <v>1123027.1000000001</v>
      </c>
      <c r="H21" s="245">
        <f t="shared" si="4"/>
        <v>122621.60000000009</v>
      </c>
      <c r="I21" s="246">
        <f t="shared" si="5"/>
        <v>12.257189709572778</v>
      </c>
      <c r="J21" s="247"/>
    </row>
    <row r="22" spans="1:10" ht="45" customHeight="1">
      <c r="A22" s="249" t="s">
        <v>172</v>
      </c>
      <c r="B22" s="240" t="s">
        <v>140</v>
      </c>
      <c r="C22" s="241">
        <v>1131</v>
      </c>
      <c r="D22" s="242">
        <v>883.80000000000007</v>
      </c>
      <c r="E22" s="243">
        <v>999577.8</v>
      </c>
      <c r="F22" s="244">
        <f t="shared" si="3"/>
        <v>842.34164456233418</v>
      </c>
      <c r="G22" s="243">
        <v>952688.4</v>
      </c>
      <c r="H22" s="245">
        <f t="shared" ref="H22:H23" si="6">G22-E22</f>
        <v>-46889.400000000023</v>
      </c>
      <c r="I22" s="246">
        <f t="shared" ref="I22:I23" si="7">(H22/E22)*100</f>
        <v>-4.6909205066379043</v>
      </c>
      <c r="J22" s="247"/>
    </row>
    <row r="23" spans="1:10" ht="45" customHeight="1">
      <c r="A23" s="249">
        <v>42928</v>
      </c>
      <c r="B23" s="240" t="s">
        <v>180</v>
      </c>
      <c r="C23" s="241">
        <v>6491</v>
      </c>
      <c r="D23" s="242">
        <f>E23/C23</f>
        <v>154.20959790479125</v>
      </c>
      <c r="E23" s="243">
        <v>1000974.5</v>
      </c>
      <c r="F23" s="244">
        <f t="shared" si="3"/>
        <v>174.19530118625789</v>
      </c>
      <c r="G23" s="243">
        <v>1130701.7</v>
      </c>
      <c r="H23" s="245">
        <f t="shared" si="6"/>
        <v>129727.19999999995</v>
      </c>
      <c r="I23" s="246">
        <f t="shared" si="7"/>
        <v>12.960090391913075</v>
      </c>
      <c r="J23" s="247"/>
    </row>
    <row r="24" spans="1:10" ht="45" customHeight="1">
      <c r="A24" s="248" t="s">
        <v>184</v>
      </c>
      <c r="B24" s="240" t="s">
        <v>159</v>
      </c>
      <c r="C24" s="241">
        <v>7434</v>
      </c>
      <c r="D24" s="242">
        <v>134.46155501748723</v>
      </c>
      <c r="E24" s="243">
        <v>999587.2</v>
      </c>
      <c r="F24" s="244">
        <f t="shared" si="3"/>
        <v>142.02117971482377</v>
      </c>
      <c r="G24" s="243">
        <v>1055785.45</v>
      </c>
      <c r="H24" s="245">
        <f t="shared" ref="H24" si="8">G24-E24</f>
        <v>56198.25</v>
      </c>
      <c r="I24" s="246">
        <f t="shared" ref="I24" si="9">(H24/E24)*100</f>
        <v>5.6221458217952369</v>
      </c>
      <c r="J24" s="247"/>
    </row>
    <row r="25" spans="1:10" ht="45" customHeight="1">
      <c r="A25" s="248">
        <v>42950</v>
      </c>
      <c r="B25" s="240" t="s">
        <v>183</v>
      </c>
      <c r="C25" s="241">
        <v>9304</v>
      </c>
      <c r="D25" s="242">
        <v>53.604874247635422</v>
      </c>
      <c r="E25" s="243">
        <v>498739.75</v>
      </c>
      <c r="F25" s="244">
        <f t="shared" si="3"/>
        <v>49.610511607910574</v>
      </c>
      <c r="G25" s="243">
        <v>461576.2</v>
      </c>
      <c r="H25" s="245">
        <f t="shared" ref="H25:H26" si="10">G25-E25</f>
        <v>-37163.549999999988</v>
      </c>
      <c r="I25" s="246">
        <f t="shared" ref="I25:I26" si="11">(H25/E25)*100</f>
        <v>-7.4514914842861408</v>
      </c>
      <c r="J25" s="247"/>
    </row>
    <row r="26" spans="1:10" ht="45" customHeight="1">
      <c r="A26" s="248">
        <v>42951</v>
      </c>
      <c r="B26" s="240" t="s">
        <v>16</v>
      </c>
      <c r="C26" s="241">
        <v>420</v>
      </c>
      <c r="D26" s="242">
        <f>E26/C26</f>
        <v>915.96177833333331</v>
      </c>
      <c r="E26" s="243">
        <v>384703.94689999998</v>
      </c>
      <c r="F26" s="244">
        <f t="shared" si="3"/>
        <v>1186.1220238095239</v>
      </c>
      <c r="G26" s="243">
        <v>498171.25</v>
      </c>
      <c r="H26" s="245">
        <f t="shared" si="10"/>
        <v>113467.30310000002</v>
      </c>
      <c r="I26" s="246">
        <f t="shared" si="11"/>
        <v>29.494707297477955</v>
      </c>
      <c r="J26" s="247"/>
    </row>
    <row r="27" spans="1:10" ht="45" customHeight="1">
      <c r="A27" s="248">
        <v>42951</v>
      </c>
      <c r="B27" s="240" t="s">
        <v>179</v>
      </c>
      <c r="C27" s="241">
        <v>33222</v>
      </c>
      <c r="D27" s="242">
        <v>15.1</v>
      </c>
      <c r="E27" s="243">
        <v>501652.2</v>
      </c>
      <c r="F27" s="244">
        <f t="shared" si="3"/>
        <v>18.25</v>
      </c>
      <c r="G27" s="243">
        <v>606301.5</v>
      </c>
      <c r="H27" s="245">
        <f t="shared" ref="H27" si="12">G27-E27</f>
        <v>104649.29999999999</v>
      </c>
      <c r="I27" s="246">
        <f t="shared" ref="I27" si="13">(H27/E27)*100</f>
        <v>20.860927152317878</v>
      </c>
      <c r="J27" s="247"/>
    </row>
    <row r="28" spans="1:10" ht="45" customHeight="1">
      <c r="A28" s="248">
        <v>42961</v>
      </c>
      <c r="B28" s="240" t="s">
        <v>156</v>
      </c>
      <c r="C28" s="241">
        <v>6156</v>
      </c>
      <c r="D28" s="242">
        <v>160.9</v>
      </c>
      <c r="E28" s="243">
        <v>990500.4</v>
      </c>
      <c r="F28" s="244">
        <f t="shared" si="3"/>
        <v>167.2</v>
      </c>
      <c r="G28" s="243">
        <v>1029283.2</v>
      </c>
      <c r="H28" s="245">
        <f t="shared" ref="H28" si="14">G28-E28</f>
        <v>38782.79999999993</v>
      </c>
      <c r="I28" s="246">
        <f t="shared" ref="I28" si="15">(H28/E28)*100</f>
        <v>3.9154754505904212</v>
      </c>
      <c r="J28" s="247"/>
    </row>
    <row r="29" spans="1:10" ht="45" customHeight="1">
      <c r="A29" s="248">
        <v>42989</v>
      </c>
      <c r="B29" s="240" t="s">
        <v>182</v>
      </c>
      <c r="C29" s="241">
        <v>1076</v>
      </c>
      <c r="D29" s="242">
        <v>459.99614312267659</v>
      </c>
      <c r="E29" s="243">
        <v>494955.85</v>
      </c>
      <c r="F29" s="244">
        <f t="shared" si="3"/>
        <v>499</v>
      </c>
      <c r="G29" s="243">
        <v>536924</v>
      </c>
      <c r="H29" s="245">
        <f t="shared" ref="H29:H31" si="16">G29-E29</f>
        <v>41968.150000000023</v>
      </c>
      <c r="I29" s="246">
        <f t="shared" ref="I29:I31" si="17">(H29/E29)*100</f>
        <v>8.4791704148966076</v>
      </c>
      <c r="J29" s="247"/>
    </row>
    <row r="30" spans="1:10" ht="45" customHeight="1">
      <c r="A30" s="248">
        <v>42993</v>
      </c>
      <c r="B30" s="240" t="s">
        <v>161</v>
      </c>
      <c r="C30" s="241">
        <v>3773</v>
      </c>
      <c r="D30" s="242">
        <v>264.9933739729658</v>
      </c>
      <c r="E30" s="243">
        <v>999820</v>
      </c>
      <c r="F30" s="244">
        <f t="shared" si="3"/>
        <v>225.73269281738669</v>
      </c>
      <c r="G30" s="243">
        <v>851689.45</v>
      </c>
      <c r="H30" s="245">
        <f t="shared" si="16"/>
        <v>-148130.55000000005</v>
      </c>
      <c r="I30" s="246">
        <f t="shared" si="17"/>
        <v>-14.815721829929393</v>
      </c>
      <c r="J30" s="247"/>
    </row>
    <row r="31" spans="1:10" ht="45" customHeight="1">
      <c r="A31" s="248">
        <v>42997</v>
      </c>
      <c r="B31" s="240" t="s">
        <v>173</v>
      </c>
      <c r="C31" s="241">
        <v>6441</v>
      </c>
      <c r="D31" s="242">
        <v>153.86788542151839</v>
      </c>
      <c r="E31" s="243">
        <v>991063.05</v>
      </c>
      <c r="F31" s="244">
        <f t="shared" si="3"/>
        <v>145.90340785592298</v>
      </c>
      <c r="G31" s="243">
        <v>939763.85</v>
      </c>
      <c r="H31" s="245">
        <f t="shared" si="16"/>
        <v>-51299.20000000007</v>
      </c>
      <c r="I31" s="246">
        <f t="shared" si="17"/>
        <v>-5.176179255194719</v>
      </c>
      <c r="J31" s="247"/>
    </row>
    <row r="32" spans="1:10" ht="45" customHeight="1">
      <c r="A32" s="248">
        <v>42997</v>
      </c>
      <c r="B32" s="240" t="s">
        <v>118</v>
      </c>
      <c r="C32" s="241">
        <v>1076</v>
      </c>
      <c r="D32" s="242">
        <v>923.67174721189599</v>
      </c>
      <c r="E32" s="243">
        <v>993870.8</v>
      </c>
      <c r="F32" s="244">
        <f t="shared" si="3"/>
        <v>1004.4653810408922</v>
      </c>
      <c r="G32" s="243">
        <v>1080804.75</v>
      </c>
      <c r="H32" s="245">
        <f t="shared" ref="H32:H33" si="18">G32-E32</f>
        <v>86933.949999999953</v>
      </c>
      <c r="I32" s="246">
        <f t="shared" ref="I32:I33" si="19">(H32/E32)*100</f>
        <v>8.747007156262157</v>
      </c>
      <c r="J32" s="247"/>
    </row>
    <row r="33" spans="1:10" ht="45" customHeight="1">
      <c r="A33" s="248">
        <v>43007</v>
      </c>
      <c r="B33" s="240" t="s">
        <v>194</v>
      </c>
      <c r="C33" s="241">
        <v>11923</v>
      </c>
      <c r="D33" s="242">
        <v>83.391679946322228</v>
      </c>
      <c r="E33" s="243">
        <v>994279</v>
      </c>
      <c r="F33" s="244">
        <f t="shared" si="3"/>
        <v>100.90887779921161</v>
      </c>
      <c r="G33" s="243">
        <v>1203136.55</v>
      </c>
      <c r="H33" s="245">
        <f t="shared" si="18"/>
        <v>208857.55000000005</v>
      </c>
      <c r="I33" s="246">
        <f t="shared" si="19"/>
        <v>21.005929925101512</v>
      </c>
      <c r="J33" s="247"/>
    </row>
    <row r="34" spans="1:10" ht="45" customHeight="1">
      <c r="A34" s="248">
        <v>43020</v>
      </c>
      <c r="B34" s="240" t="s">
        <v>217</v>
      </c>
      <c r="C34" s="241">
        <v>1229</v>
      </c>
      <c r="D34" s="242">
        <v>605.94711147274211</v>
      </c>
      <c r="E34" s="243">
        <v>744709</v>
      </c>
      <c r="F34" s="244">
        <f t="shared" si="3"/>
        <v>745.06187957689178</v>
      </c>
      <c r="G34" s="243">
        <v>915681.05</v>
      </c>
      <c r="H34" s="245">
        <f t="shared" ref="H34:H40" si="20">G34-E34</f>
        <v>170972.05000000005</v>
      </c>
      <c r="I34" s="246">
        <f t="shared" ref="I34:I40" si="21">(H34/E34)*100</f>
        <v>22.958236035820708</v>
      </c>
      <c r="J34" s="247"/>
    </row>
    <row r="35" spans="1:10" ht="45" customHeight="1">
      <c r="A35" s="248">
        <v>43026</v>
      </c>
      <c r="B35" s="240" t="s">
        <v>240</v>
      </c>
      <c r="C35" s="241">
        <v>682</v>
      </c>
      <c r="D35" s="242">
        <v>1098.975366568915</v>
      </c>
      <c r="E35" s="243">
        <v>749501.2</v>
      </c>
      <c r="F35" s="244">
        <f t="shared" si="3"/>
        <v>1044.0875366568914</v>
      </c>
      <c r="G35" s="243">
        <v>712067.7</v>
      </c>
      <c r="H35" s="245">
        <f t="shared" si="20"/>
        <v>-37433.5</v>
      </c>
      <c r="I35" s="246">
        <f t="shared" si="21"/>
        <v>-4.9944549788579398</v>
      </c>
      <c r="J35" s="247"/>
    </row>
    <row r="36" spans="1:10" ht="45" customHeight="1">
      <c r="A36" s="248">
        <v>43026</v>
      </c>
      <c r="B36" s="240" t="s">
        <v>210</v>
      </c>
      <c r="C36" s="241">
        <v>16836</v>
      </c>
      <c r="D36" s="242">
        <v>29.400000000000002</v>
      </c>
      <c r="E36" s="243">
        <v>494978.4</v>
      </c>
      <c r="F36" s="244">
        <f t="shared" si="3"/>
        <v>27.45</v>
      </c>
      <c r="G36" s="243">
        <v>462148.2</v>
      </c>
      <c r="H36" s="245">
        <f t="shared" si="20"/>
        <v>-32830.200000000012</v>
      </c>
      <c r="I36" s="246">
        <f t="shared" si="21"/>
        <v>-6.6326530612244916</v>
      </c>
      <c r="J36" s="247"/>
    </row>
    <row r="37" spans="1:10" ht="45" customHeight="1">
      <c r="A37" s="248">
        <v>43031</v>
      </c>
      <c r="B37" s="240" t="s">
        <v>214</v>
      </c>
      <c r="C37" s="241">
        <v>1495</v>
      </c>
      <c r="D37" s="242">
        <v>501.47709030100333</v>
      </c>
      <c r="E37" s="243">
        <v>749708.25</v>
      </c>
      <c r="F37" s="244">
        <f t="shared" si="3"/>
        <v>550.20000000000005</v>
      </c>
      <c r="G37" s="243">
        <v>822549</v>
      </c>
      <c r="H37" s="245">
        <f t="shared" si="20"/>
        <v>72840.75</v>
      </c>
      <c r="I37" s="246">
        <f t="shared" si="21"/>
        <v>9.7158794771165979</v>
      </c>
      <c r="J37" s="247"/>
    </row>
    <row r="38" spans="1:10" ht="45" customHeight="1">
      <c r="A38" s="248">
        <v>43031</v>
      </c>
      <c r="B38" s="240" t="s">
        <v>191</v>
      </c>
      <c r="C38" s="241">
        <v>7396</v>
      </c>
      <c r="D38" s="242">
        <v>69.1084437533802</v>
      </c>
      <c r="E38" s="243">
        <v>511126.05</v>
      </c>
      <c r="F38" s="244">
        <f t="shared" si="3"/>
        <v>70.469929691725255</v>
      </c>
      <c r="G38" s="243">
        <v>521195.6</v>
      </c>
      <c r="H38" s="245">
        <f t="shared" si="20"/>
        <v>10069.549999999988</v>
      </c>
      <c r="I38" s="246">
        <f t="shared" si="21"/>
        <v>1.9700717660545746</v>
      </c>
      <c r="J38" s="247"/>
    </row>
    <row r="39" spans="1:10" ht="45" customHeight="1">
      <c r="A39" s="248">
        <v>43033</v>
      </c>
      <c r="B39" s="240" t="s">
        <v>178</v>
      </c>
      <c r="C39" s="241">
        <v>4445</v>
      </c>
      <c r="D39" s="242">
        <v>336.78400449943757</v>
      </c>
      <c r="E39" s="243">
        <v>1497004.9</v>
      </c>
      <c r="F39" s="244">
        <f t="shared" si="3"/>
        <v>381.12037120359957</v>
      </c>
      <c r="G39" s="243">
        <v>1694080.05</v>
      </c>
      <c r="H39" s="245">
        <f t="shared" si="20"/>
        <v>197075.15000000014</v>
      </c>
      <c r="I39" s="246">
        <f t="shared" si="21"/>
        <v>13.164629588052795</v>
      </c>
      <c r="J39" s="247"/>
    </row>
    <row r="40" spans="1:10" ht="45" customHeight="1">
      <c r="A40" s="248">
        <v>43039</v>
      </c>
      <c r="B40" s="240" t="s">
        <v>64</v>
      </c>
      <c r="C40" s="241">
        <v>166</v>
      </c>
      <c r="D40" s="242">
        <v>5990</v>
      </c>
      <c r="E40" s="243">
        <v>994340</v>
      </c>
      <c r="F40" s="244">
        <f t="shared" si="3"/>
        <v>6696.0936746987954</v>
      </c>
      <c r="G40" s="243">
        <v>1111551.55</v>
      </c>
      <c r="H40" s="245">
        <f t="shared" si="20"/>
        <v>117211.55000000005</v>
      </c>
      <c r="I40" s="246">
        <f t="shared" si="21"/>
        <v>11.787874368928138</v>
      </c>
      <c r="J40" s="247"/>
    </row>
    <row r="41" spans="1:10" ht="45" customHeight="1">
      <c r="A41" s="248">
        <v>43042</v>
      </c>
      <c r="B41" s="240" t="s">
        <v>180</v>
      </c>
      <c r="C41" s="241">
        <v>3633</v>
      </c>
      <c r="D41" s="242">
        <v>204.37058904486651</v>
      </c>
      <c r="E41" s="243">
        <v>742478.35</v>
      </c>
      <c r="F41" s="244">
        <f t="shared" si="3"/>
        <v>225.8</v>
      </c>
      <c r="G41" s="243">
        <v>820331.4</v>
      </c>
      <c r="H41" s="245">
        <f t="shared" ref="H41:H44" si="22">G41-E41</f>
        <v>77853.050000000047</v>
      </c>
      <c r="I41" s="246">
        <f t="shared" ref="I41:I44" si="23">(H41/E41)*100</f>
        <v>10.4855649999761</v>
      </c>
      <c r="J41" s="247"/>
    </row>
    <row r="42" spans="1:10" ht="45" customHeight="1">
      <c r="A42" s="248">
        <v>43046</v>
      </c>
      <c r="B42" s="240" t="s">
        <v>249</v>
      </c>
      <c r="C42" s="241">
        <v>794</v>
      </c>
      <c r="D42" s="242">
        <v>943.92147355163729</v>
      </c>
      <c r="E42" s="243">
        <v>749473.65</v>
      </c>
      <c r="F42" s="244">
        <f t="shared" si="3"/>
        <v>952.91964735516365</v>
      </c>
      <c r="G42" s="243">
        <v>756618.2</v>
      </c>
      <c r="H42" s="245">
        <f t="shared" si="22"/>
        <v>7144.5499999999302</v>
      </c>
      <c r="I42" s="246">
        <f t="shared" si="23"/>
        <v>0.95327567553574832</v>
      </c>
      <c r="J42" s="247"/>
    </row>
    <row r="43" spans="1:10" ht="45" customHeight="1">
      <c r="A43" s="248">
        <v>43052</v>
      </c>
      <c r="B43" s="240" t="s">
        <v>212</v>
      </c>
      <c r="C43" s="241">
        <v>8948</v>
      </c>
      <c r="D43" s="242">
        <v>166.05455967814035</v>
      </c>
      <c r="E43" s="243">
        <v>1485856.2</v>
      </c>
      <c r="F43" s="244">
        <f t="shared" si="3"/>
        <v>159.90388913723737</v>
      </c>
      <c r="G43" s="243">
        <v>1430820</v>
      </c>
      <c r="H43" s="245">
        <f t="shared" si="22"/>
        <v>-55036.199999999953</v>
      </c>
      <c r="I43" s="246">
        <f t="shared" si="23"/>
        <v>-3.7040058115987233</v>
      </c>
      <c r="J43" s="247"/>
    </row>
    <row r="44" spans="1:10" ht="45" customHeight="1">
      <c r="A44" s="300" t="s">
        <v>250</v>
      </c>
      <c r="B44" s="240" t="s">
        <v>229</v>
      </c>
      <c r="C44" s="241">
        <v>1436</v>
      </c>
      <c r="D44" s="242">
        <v>522</v>
      </c>
      <c r="E44" s="243">
        <v>749592</v>
      </c>
      <c r="F44" s="244">
        <f t="shared" si="3"/>
        <v>600.91887186629526</v>
      </c>
      <c r="G44" s="243">
        <v>862919.5</v>
      </c>
      <c r="H44" s="245">
        <f t="shared" si="22"/>
        <v>113327.5</v>
      </c>
      <c r="I44" s="246">
        <f t="shared" si="23"/>
        <v>15.118557828792195</v>
      </c>
      <c r="J44" s="247"/>
    </row>
    <row r="45" spans="1:10" ht="45" customHeight="1">
      <c r="A45" s="300" t="s">
        <v>268</v>
      </c>
      <c r="B45" s="81" t="s">
        <v>178</v>
      </c>
      <c r="C45" s="241">
        <v>3937</v>
      </c>
      <c r="D45" s="242">
        <v>382.89196088392174</v>
      </c>
      <c r="E45" s="243">
        <v>1507445.65</v>
      </c>
      <c r="F45" s="244">
        <f t="shared" si="3"/>
        <v>412.0209550419101</v>
      </c>
      <c r="G45" s="243">
        <v>1622126.5</v>
      </c>
      <c r="H45" s="245">
        <f t="shared" ref="H45" si="24">G45-E45</f>
        <v>114680.85000000009</v>
      </c>
      <c r="I45" s="246">
        <f t="shared" ref="I45" si="25">(H45/E45)*100</f>
        <v>7.6076275121428161</v>
      </c>
      <c r="J45" s="247"/>
    </row>
    <row r="46" spans="1:10" ht="45" customHeight="1">
      <c r="A46" s="300" t="s">
        <v>268</v>
      </c>
      <c r="B46" s="240" t="s">
        <v>269</v>
      </c>
      <c r="C46" s="241">
        <v>1266</v>
      </c>
      <c r="D46" s="242">
        <v>469.28195102685618</v>
      </c>
      <c r="E46" s="243">
        <v>594110.94999999995</v>
      </c>
      <c r="F46" s="244">
        <f t="shared" si="3"/>
        <v>540.99897314375983</v>
      </c>
      <c r="G46" s="243">
        <v>684904.7</v>
      </c>
      <c r="H46" s="245">
        <f t="shared" ref="H46:H47" si="26">G46-E46</f>
        <v>90793.75</v>
      </c>
      <c r="I46" s="246">
        <f t="shared" ref="I46:I47" si="27">(H46/E46)*100</f>
        <v>15.282288602827471</v>
      </c>
      <c r="J46" s="247"/>
    </row>
    <row r="47" spans="1:10" ht="45" customHeight="1">
      <c r="A47" s="300" t="s">
        <v>268</v>
      </c>
      <c r="B47" s="240" t="s">
        <v>180</v>
      </c>
      <c r="C47" s="241">
        <v>3294</v>
      </c>
      <c r="D47" s="242">
        <v>225.51243169398904</v>
      </c>
      <c r="E47" s="243">
        <v>742837.95</v>
      </c>
      <c r="F47" s="244">
        <f t="shared" si="3"/>
        <v>271.47317850637523</v>
      </c>
      <c r="G47" s="243">
        <v>894232.65</v>
      </c>
      <c r="H47" s="245">
        <f t="shared" si="26"/>
        <v>151394.70000000007</v>
      </c>
      <c r="I47" s="246">
        <f t="shared" si="27"/>
        <v>20.380582332930093</v>
      </c>
      <c r="J47" s="247"/>
    </row>
    <row r="48" spans="1:10" ht="45" customHeight="1">
      <c r="A48" s="300">
        <v>43073</v>
      </c>
      <c r="B48" s="240" t="s">
        <v>180</v>
      </c>
      <c r="C48" s="241">
        <v>2757</v>
      </c>
      <c r="D48" s="242">
        <v>271.19189336235041</v>
      </c>
      <c r="E48" s="243">
        <v>747676.05</v>
      </c>
      <c r="F48" s="244">
        <f t="shared" si="3"/>
        <v>278.57843670656513</v>
      </c>
      <c r="G48" s="243">
        <v>768040.75</v>
      </c>
      <c r="H48" s="245">
        <f t="shared" ref="H48:H50" si="28">G48-E48</f>
        <v>20364.699999999953</v>
      </c>
      <c r="I48" s="246">
        <f t="shared" ref="I48:I50" si="29">(H48/E48)*100</f>
        <v>2.7237330926943497</v>
      </c>
      <c r="J48" s="247"/>
    </row>
    <row r="49" spans="1:10" ht="45" customHeight="1">
      <c r="A49" s="300">
        <v>43081</v>
      </c>
      <c r="B49" s="240" t="s">
        <v>252</v>
      </c>
      <c r="C49" s="241">
        <v>669</v>
      </c>
      <c r="D49" s="242">
        <v>1120.4763079222721</v>
      </c>
      <c r="E49" s="243">
        <v>749598.65</v>
      </c>
      <c r="F49" s="244">
        <f t="shared" si="3"/>
        <v>1128.2579222720478</v>
      </c>
      <c r="G49" s="243">
        <v>754804.55</v>
      </c>
      <c r="H49" s="245">
        <f t="shared" si="28"/>
        <v>5205.9000000000233</v>
      </c>
      <c r="I49" s="246">
        <f t="shared" si="29"/>
        <v>0.69449164562930088</v>
      </c>
      <c r="J49" s="247"/>
    </row>
    <row r="50" spans="1:10" ht="45" customHeight="1">
      <c r="A50" s="300" t="s">
        <v>276</v>
      </c>
      <c r="B50" s="240" t="s">
        <v>218</v>
      </c>
      <c r="C50" s="241">
        <v>1630</v>
      </c>
      <c r="D50" s="242">
        <v>460</v>
      </c>
      <c r="E50" s="243">
        <v>749800</v>
      </c>
      <c r="F50" s="244">
        <f t="shared" si="3"/>
        <v>506.73558282208592</v>
      </c>
      <c r="G50" s="243">
        <v>825979</v>
      </c>
      <c r="H50" s="245">
        <f t="shared" si="28"/>
        <v>76179</v>
      </c>
      <c r="I50" s="246">
        <f t="shared" si="29"/>
        <v>10.159909309149107</v>
      </c>
      <c r="J50" s="247"/>
    </row>
    <row r="51" spans="1:10" ht="45" customHeight="1">
      <c r="A51" s="300" t="s">
        <v>291</v>
      </c>
      <c r="B51" s="240" t="s">
        <v>269</v>
      </c>
      <c r="C51" s="241">
        <v>1394</v>
      </c>
      <c r="D51" s="242">
        <v>537.74106886657103</v>
      </c>
      <c r="E51" s="243">
        <v>749611.05</v>
      </c>
      <c r="F51" s="244">
        <f t="shared" si="3"/>
        <v>598.15007173601145</v>
      </c>
      <c r="G51" s="243">
        <v>833821.2</v>
      </c>
      <c r="H51" s="245">
        <f t="shared" ref="H51" si="30">G51-E51</f>
        <v>84210.149999999907</v>
      </c>
      <c r="I51" s="246">
        <f t="shared" ref="I51" si="31">(H51/E51)*100</f>
        <v>11.23384587246945</v>
      </c>
      <c r="J51" s="247"/>
    </row>
    <row r="52" spans="1:10" ht="45" customHeight="1">
      <c r="A52" s="300" t="s">
        <v>292</v>
      </c>
      <c r="B52" s="240" t="s">
        <v>274</v>
      </c>
      <c r="C52" s="241">
        <v>755</v>
      </c>
      <c r="D52" s="242">
        <v>989.604701986755</v>
      </c>
      <c r="E52" s="243">
        <v>747151.55</v>
      </c>
      <c r="F52" s="244">
        <f t="shared" si="3"/>
        <v>1036.1195364238411</v>
      </c>
      <c r="G52" s="243">
        <v>782270.25</v>
      </c>
      <c r="H52" s="245">
        <f t="shared" ref="H52" si="32">G52-E52</f>
        <v>35118.699999999953</v>
      </c>
      <c r="I52" s="246">
        <f t="shared" ref="I52" si="33">(H52/E52)*100</f>
        <v>4.7003449300212186</v>
      </c>
      <c r="J52" s="247"/>
    </row>
    <row r="53" spans="1:10" ht="45" customHeight="1">
      <c r="A53" s="300" t="s">
        <v>294</v>
      </c>
      <c r="B53" s="240" t="s">
        <v>216</v>
      </c>
      <c r="C53" s="241">
        <v>2901</v>
      </c>
      <c r="D53" s="242">
        <v>258.34999999999997</v>
      </c>
      <c r="E53" s="243">
        <v>749473.35</v>
      </c>
      <c r="F53" s="244">
        <f t="shared" si="3"/>
        <v>260.04488107549122</v>
      </c>
      <c r="G53" s="243">
        <v>754390.2</v>
      </c>
      <c r="H53" s="245">
        <f t="shared" ref="H53" si="34">G53-E53</f>
        <v>4916.8499999999767</v>
      </c>
      <c r="I53" s="246">
        <f t="shared" ref="I53" si="35">(H53/E53)*100</f>
        <v>0.6560406717597066</v>
      </c>
      <c r="J53" s="247"/>
    </row>
    <row r="54" spans="1:10" ht="45" customHeight="1">
      <c r="A54" s="300" t="s">
        <v>300</v>
      </c>
      <c r="B54" s="240" t="s">
        <v>209</v>
      </c>
      <c r="C54" s="241">
        <v>8766</v>
      </c>
      <c r="D54" s="242">
        <v>113.56720282911247</v>
      </c>
      <c r="E54" s="243">
        <v>995530.1</v>
      </c>
      <c r="F54" s="244">
        <f t="shared" ref="F54:F56" si="36">G54/C54</f>
        <v>111.04354323522701</v>
      </c>
      <c r="G54" s="243">
        <v>973407.7</v>
      </c>
      <c r="H54" s="245">
        <f t="shared" ref="H54:H56" si="37">G54-E54</f>
        <v>-22122.400000000023</v>
      </c>
      <c r="I54" s="246">
        <f t="shared" ref="I54:I56" si="38">(H54/E54)*100</f>
        <v>-2.2221728906037121</v>
      </c>
      <c r="J54" s="247"/>
    </row>
    <row r="55" spans="1:10" ht="45" customHeight="1">
      <c r="A55" s="300" t="s">
        <v>300</v>
      </c>
      <c r="B55" s="240" t="s">
        <v>81</v>
      </c>
      <c r="C55" s="241">
        <v>8522</v>
      </c>
      <c r="D55" s="242">
        <v>175.62147969960103</v>
      </c>
      <c r="E55" s="243">
        <v>1496646.25</v>
      </c>
      <c r="F55" s="244">
        <f t="shared" si="36"/>
        <v>193.90403074395681</v>
      </c>
      <c r="G55" s="243">
        <v>1652450.15</v>
      </c>
      <c r="H55" s="245">
        <f t="shared" si="37"/>
        <v>155803.89999999991</v>
      </c>
      <c r="I55" s="246">
        <f t="shared" si="38"/>
        <v>10.410202143626119</v>
      </c>
      <c r="J55" s="247"/>
    </row>
    <row r="56" spans="1:10" ht="45" customHeight="1">
      <c r="A56" s="300" t="s">
        <v>301</v>
      </c>
      <c r="B56" s="240" t="s">
        <v>290</v>
      </c>
      <c r="C56" s="241">
        <v>42735</v>
      </c>
      <c r="D56" s="242">
        <v>17.55</v>
      </c>
      <c r="E56" s="243">
        <v>749999.25</v>
      </c>
      <c r="F56" s="244">
        <f t="shared" si="36"/>
        <v>20.100000000000001</v>
      </c>
      <c r="G56" s="243">
        <v>858973.5</v>
      </c>
      <c r="H56" s="245">
        <f t="shared" si="37"/>
        <v>108974.25</v>
      </c>
      <c r="I56" s="246">
        <f t="shared" si="38"/>
        <v>14.529914529914532</v>
      </c>
      <c r="J56" s="247"/>
    </row>
    <row r="57" spans="1:10" ht="51" customHeight="1" thickBot="1">
      <c r="A57" s="251"/>
      <c r="B57" s="252"/>
      <c r="C57" s="253"/>
      <c r="D57" s="254"/>
      <c r="E57" s="255"/>
      <c r="F57" s="255"/>
      <c r="G57" s="255"/>
      <c r="H57" s="256"/>
      <c r="I57" s="257"/>
      <c r="J57" s="258"/>
    </row>
    <row r="58" spans="1:10">
      <c r="E58" s="259">
        <f>SUM(E4:E57)</f>
        <v>45607187.846899994</v>
      </c>
      <c r="F58" s="259"/>
      <c r="G58" s="259"/>
      <c r="H58" s="260">
        <f>SUM(H4:H57)</f>
        <v>3619522.0245999997</v>
      </c>
      <c r="I58" s="261">
        <f>(H58/E58)*100</f>
        <v>7.9362973151303944</v>
      </c>
    </row>
    <row r="63" spans="1:10">
      <c r="E63" s="262"/>
      <c r="F63" s="262"/>
      <c r="G63" s="262"/>
      <c r="H63" s="262"/>
      <c r="I63" s="262"/>
    </row>
  </sheetData>
  <mergeCells count="1">
    <mergeCell ref="A1:J1"/>
  </mergeCells>
  <phoneticPr fontId="37" type="noConversion"/>
  <printOptions horizontalCentered="1"/>
  <pageMargins left="0.1" right="0.1" top="0.25" bottom="0.25" header="0.25" footer="0.2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zoomScaleNormal="100" workbookViewId="0">
      <selection activeCell="F6" sqref="F6"/>
    </sheetView>
  </sheetViews>
  <sheetFormatPr defaultRowHeight="15"/>
  <cols>
    <col min="1" max="1" width="9.42578125" bestFit="1" customWidth="1"/>
    <col min="2" max="2" width="12.140625" customWidth="1"/>
    <col min="3" max="3" width="10.85546875" customWidth="1"/>
    <col min="4" max="4" width="7.85546875" customWidth="1"/>
    <col min="5" max="5" width="11.28515625" customWidth="1"/>
    <col min="6" max="6" width="9.7109375" customWidth="1"/>
    <col min="7" max="7" width="13.85546875" bestFit="1" customWidth="1"/>
    <col min="8" max="8" width="12" customWidth="1"/>
    <col min="9" max="9" width="6.5703125" bestFit="1" customWidth="1"/>
    <col min="10" max="10" width="7.85546875" bestFit="1" customWidth="1"/>
    <col min="11" max="11" width="5.42578125" customWidth="1"/>
    <col min="12" max="12" width="48.28515625" customWidth="1"/>
  </cols>
  <sheetData>
    <row r="1" spans="1:13" ht="20.25" thickBot="1">
      <c r="A1" s="377" t="s">
        <v>305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0"/>
    </row>
    <row r="2" spans="1:13" ht="20.25" thickBot="1">
      <c r="I2" s="371" t="s">
        <v>48</v>
      </c>
      <c r="J2" s="372"/>
      <c r="K2" s="373"/>
    </row>
    <row r="3" spans="1:13" ht="57" customHeight="1">
      <c r="A3" s="35" t="s">
        <v>0</v>
      </c>
      <c r="B3" s="36" t="s">
        <v>28</v>
      </c>
      <c r="C3" s="36" t="s">
        <v>30</v>
      </c>
      <c r="D3" s="36" t="s">
        <v>29</v>
      </c>
      <c r="E3" s="36" t="s">
        <v>20</v>
      </c>
      <c r="F3" s="37" t="s">
        <v>85</v>
      </c>
      <c r="G3" s="37" t="s">
        <v>18</v>
      </c>
      <c r="H3" s="37" t="s">
        <v>32</v>
      </c>
      <c r="I3" s="36" t="s">
        <v>47</v>
      </c>
      <c r="J3" s="36" t="s">
        <v>46</v>
      </c>
      <c r="K3" s="36" t="s">
        <v>45</v>
      </c>
      <c r="L3" s="38" t="s">
        <v>2</v>
      </c>
    </row>
    <row r="4" spans="1:13" ht="45" customHeight="1">
      <c r="A4" s="166" t="s">
        <v>54</v>
      </c>
      <c r="B4" s="167" t="s">
        <v>55</v>
      </c>
      <c r="C4" s="168">
        <v>24449.878000000001</v>
      </c>
      <c r="D4" s="169">
        <v>40.9</v>
      </c>
      <c r="E4" s="170">
        <f>C4*D4</f>
        <v>1000000.0102</v>
      </c>
      <c r="F4" s="171">
        <v>40.799999999999997</v>
      </c>
      <c r="G4" s="172">
        <f>(F4*C4)-E4</f>
        <v>-2444.987800000119</v>
      </c>
      <c r="H4" s="173">
        <f>(G4/E4)*100</f>
        <v>-0.24449877750612437</v>
      </c>
      <c r="I4" s="174">
        <v>2.7300000000000001E-2</v>
      </c>
      <c r="J4" s="175">
        <v>0.18629999999999999</v>
      </c>
      <c r="K4" s="176">
        <v>0.95</v>
      </c>
      <c r="L4" s="177" t="s">
        <v>189</v>
      </c>
    </row>
    <row r="5" spans="1:13" ht="45" customHeight="1">
      <c r="A5" s="25" t="s">
        <v>27</v>
      </c>
      <c r="B5" s="27" t="s">
        <v>49</v>
      </c>
      <c r="C5" s="47">
        <v>17395.758000000002</v>
      </c>
      <c r="D5" s="26">
        <v>143.7132</v>
      </c>
      <c r="E5" s="48">
        <f>D5*C5</f>
        <v>2500000.0486056004</v>
      </c>
      <c r="F5" s="22">
        <v>132.38499999999999</v>
      </c>
      <c r="G5" s="141">
        <f>(F5*C5)-E5</f>
        <v>-197062.62577560032</v>
      </c>
      <c r="H5" s="52">
        <f>(G5/E5)*100</f>
        <v>-7.8825048777704607</v>
      </c>
      <c r="I5" s="49">
        <v>2.24E-2</v>
      </c>
      <c r="J5" s="50">
        <v>0.27339999999999998</v>
      </c>
      <c r="K5" s="27">
        <v>0.99</v>
      </c>
      <c r="L5" s="21"/>
    </row>
    <row r="6" spans="1:13" ht="45" customHeight="1" thickBot="1">
      <c r="A6" s="19"/>
      <c r="B6" s="18"/>
      <c r="C6" s="18"/>
      <c r="D6" s="18"/>
      <c r="E6" s="18"/>
      <c r="F6" s="18"/>
      <c r="G6" s="142"/>
      <c r="H6" s="40"/>
      <c r="I6" s="40"/>
      <c r="J6" s="40"/>
      <c r="K6" s="40"/>
      <c r="L6" s="41" t="s">
        <v>70</v>
      </c>
    </row>
    <row r="7" spans="1:13">
      <c r="E7" s="75">
        <f>SUM(E4:E6)</f>
        <v>3500000.0588056003</v>
      </c>
      <c r="G7" s="140">
        <f>SUM(G4:G6)</f>
        <v>-199507.61357560044</v>
      </c>
      <c r="H7" s="69">
        <f>AVERAGE(H4:H5)</f>
        <v>-4.0635018276382926</v>
      </c>
      <c r="I7" s="54"/>
    </row>
    <row r="8" spans="1:13">
      <c r="G8" s="143"/>
    </row>
    <row r="9" spans="1:13">
      <c r="G9" s="143">
        <f>E7+G7</f>
        <v>3300492.4452299997</v>
      </c>
    </row>
    <row r="10" spans="1:13">
      <c r="F10" s="75"/>
    </row>
    <row r="13" spans="1:13">
      <c r="L13" s="115"/>
    </row>
  </sheetData>
  <mergeCells count="2">
    <mergeCell ref="I2:K2"/>
    <mergeCell ref="A1:L1"/>
  </mergeCells>
  <phoneticPr fontId="37" type="noConversion"/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3"/>
  <sheetViews>
    <sheetView zoomScale="80" zoomScaleNormal="80" workbookViewId="0">
      <pane ySplit="3" topLeftCell="A36" activePane="bottomLeft" state="frozen"/>
      <selection activeCell="F20" sqref="F20"/>
      <selection pane="bottomLeft" activeCell="A2" sqref="A2"/>
    </sheetView>
  </sheetViews>
  <sheetFormatPr defaultRowHeight="15"/>
  <cols>
    <col min="1" max="1" width="10.7109375" bestFit="1" customWidth="1"/>
    <col min="2" max="2" width="13.42578125" customWidth="1"/>
    <col min="3" max="3" width="10.85546875" customWidth="1"/>
    <col min="4" max="4" width="13.7109375" customWidth="1"/>
    <col min="5" max="5" width="11.28515625" customWidth="1"/>
    <col min="6" max="6" width="14.28515625" bestFit="1" customWidth="1"/>
    <col min="7" max="7" width="28.140625" customWidth="1"/>
    <col min="8" max="8" width="9.140625" customWidth="1"/>
    <col min="9" max="9" width="20.85546875" hidden="1" customWidth="1"/>
    <col min="10" max="10" width="19.28515625" hidden="1" customWidth="1"/>
    <col min="11" max="11" width="14.85546875" style="145" hidden="1" customWidth="1"/>
    <col min="12" max="13" width="14.85546875" hidden="1" customWidth="1"/>
    <col min="14" max="14" width="9.140625" hidden="1" customWidth="1"/>
  </cols>
  <sheetData>
    <row r="1" spans="1:13" ht="19.5">
      <c r="A1" s="377" t="s">
        <v>306</v>
      </c>
      <c r="B1" s="377"/>
      <c r="C1" s="377"/>
      <c r="D1" s="377"/>
      <c r="E1" s="377"/>
      <c r="F1" s="377"/>
      <c r="G1" s="377"/>
      <c r="H1" s="30"/>
    </row>
    <row r="2" spans="1:13" ht="15.75" thickBot="1"/>
    <row r="3" spans="1:13" ht="57" customHeight="1" thickBot="1">
      <c r="A3" s="35" t="s">
        <v>0</v>
      </c>
      <c r="B3" s="36" t="s">
        <v>22</v>
      </c>
      <c r="C3" s="36" t="s">
        <v>71</v>
      </c>
      <c r="D3" s="36" t="s">
        <v>72</v>
      </c>
      <c r="E3" s="36" t="s">
        <v>75</v>
      </c>
      <c r="F3" s="37" t="s">
        <v>59</v>
      </c>
      <c r="G3" s="38" t="s">
        <v>2</v>
      </c>
      <c r="I3" s="109" t="s">
        <v>22</v>
      </c>
      <c r="J3" s="146" t="s">
        <v>145</v>
      </c>
      <c r="K3" s="151" t="s">
        <v>146</v>
      </c>
      <c r="L3" s="110" t="s">
        <v>155</v>
      </c>
      <c r="M3" s="110" t="s">
        <v>147</v>
      </c>
    </row>
    <row r="4" spans="1:13" ht="45" customHeight="1">
      <c r="A4" s="53" t="s">
        <v>111</v>
      </c>
      <c r="B4" s="39" t="s">
        <v>81</v>
      </c>
      <c r="C4" s="78" t="s">
        <v>104</v>
      </c>
      <c r="D4" s="23" t="s">
        <v>104</v>
      </c>
      <c r="E4" s="29">
        <f>720+520</f>
        <v>1240</v>
      </c>
      <c r="F4" s="103" t="s">
        <v>61</v>
      </c>
      <c r="G4" s="21" t="s">
        <v>112</v>
      </c>
      <c r="I4" s="105" t="s">
        <v>16</v>
      </c>
      <c r="J4" s="147">
        <f ca="1">SUMIF($B$4:$E$41,"HUL",$E$4:$E$41)</f>
        <v>49340</v>
      </c>
      <c r="K4" s="152">
        <f ca="1">J4/'Invested Stocks'!E4</f>
        <v>3.2883954761475188E-2</v>
      </c>
      <c r="L4" s="111">
        <f ca="1">J4/J9</f>
        <v>0.36881791764387095</v>
      </c>
      <c r="M4" s="111">
        <f t="shared" ref="M4:M16" ca="1" si="0">J4/$E$42</f>
        <v>0.17478877092319714</v>
      </c>
    </row>
    <row r="5" spans="1:13" ht="45" customHeight="1">
      <c r="A5" s="53">
        <v>42676</v>
      </c>
      <c r="B5" s="39" t="s">
        <v>15</v>
      </c>
      <c r="C5" s="78">
        <v>200</v>
      </c>
      <c r="D5" s="23">
        <f t="shared" ref="D5:D10" si="1">E5/C5</f>
        <v>6.5</v>
      </c>
      <c r="E5" s="29">
        <v>1300</v>
      </c>
      <c r="F5" s="103" t="s">
        <v>60</v>
      </c>
      <c r="G5" s="21"/>
      <c r="I5" s="106" t="s">
        <v>14</v>
      </c>
      <c r="J5" s="148">
        <f ca="1">SUMIF($B$4:$E$41,"NESIND",$E$4:$E$41)</f>
        <v>1776</v>
      </c>
      <c r="K5" s="153">
        <f ca="1">J5/'Invested Stocks'!E5</f>
        <v>2.4128656277713225E-3</v>
      </c>
      <c r="L5" s="112">
        <f ca="1">J5/J9</f>
        <v>1.327565102828364E-2</v>
      </c>
      <c r="M5" s="112">
        <f t="shared" ca="1" si="0"/>
        <v>6.2915455443777494E-3</v>
      </c>
    </row>
    <row r="6" spans="1:13" ht="45" customHeight="1">
      <c r="A6" s="53">
        <v>42677</v>
      </c>
      <c r="B6" s="27" t="s">
        <v>73</v>
      </c>
      <c r="C6" s="79">
        <v>416</v>
      </c>
      <c r="D6" s="23">
        <f t="shared" si="1"/>
        <v>3</v>
      </c>
      <c r="E6" s="22">
        <v>1248</v>
      </c>
      <c r="F6" s="104" t="s">
        <v>62</v>
      </c>
      <c r="G6" s="21"/>
      <c r="I6" s="106" t="s">
        <v>36</v>
      </c>
      <c r="J6" s="148">
        <f ca="1">SUMIF($B$4:$E$41,"Asian Paints",$E$4:$E$41)</f>
        <v>16577.75</v>
      </c>
      <c r="K6" s="153">
        <f ca="1">J6/'Invested Stocks'!E6</f>
        <v>1.105213984601173E-2</v>
      </c>
      <c r="L6" s="112">
        <f ca="1">J6/J9</f>
        <v>0.12391915756426189</v>
      </c>
      <c r="M6" s="112">
        <f t="shared" ca="1" si="0"/>
        <v>5.8727291187110488E-2</v>
      </c>
    </row>
    <row r="7" spans="1:13" ht="45" customHeight="1">
      <c r="A7" s="53">
        <v>42679</v>
      </c>
      <c r="B7" s="24" t="s">
        <v>74</v>
      </c>
      <c r="C7" s="78">
        <v>857</v>
      </c>
      <c r="D7" s="23">
        <f t="shared" si="1"/>
        <v>2.6500000000000004</v>
      </c>
      <c r="E7" s="29">
        <v>2271.0500000000002</v>
      </c>
      <c r="F7" s="103" t="s">
        <v>61</v>
      </c>
      <c r="G7" s="77"/>
      <c r="I7" s="107" t="s">
        <v>81</v>
      </c>
      <c r="J7" s="149">
        <f ca="1">SUMIF($B$4:$E$41,"ONGC",$E$4:$E$41)</f>
        <v>46780</v>
      </c>
      <c r="K7" s="153" t="e">
        <f ca="1">J7/'Invested Stocks'!#REF!</f>
        <v>#REF!</v>
      </c>
      <c r="L7" s="113">
        <f ca="1">J7/J9</f>
        <v>0.34968184408958825</v>
      </c>
      <c r="M7" s="113">
        <f t="shared" ca="1" si="0"/>
        <v>0.16571987644481481</v>
      </c>
    </row>
    <row r="8" spans="1:13" ht="45" customHeight="1" thickBot="1">
      <c r="A8" s="53">
        <v>42689</v>
      </c>
      <c r="B8" s="24" t="s">
        <v>16</v>
      </c>
      <c r="C8" s="78">
        <v>2108</v>
      </c>
      <c r="D8" s="23">
        <f t="shared" si="1"/>
        <v>7</v>
      </c>
      <c r="E8" s="29">
        <v>14756</v>
      </c>
      <c r="F8" s="103" t="s">
        <v>61</v>
      </c>
      <c r="G8" s="77"/>
      <c r="I8" s="107" t="s">
        <v>185</v>
      </c>
      <c r="J8" s="149">
        <f ca="1">SUMIF($B$4:$E$41,"Bajaj Auto",$E$4:$E$41)</f>
        <v>19305</v>
      </c>
      <c r="K8" s="153">
        <f ca="1">J8/'Invested Stocks'!E11</f>
        <v>2.5952045513206574E-2</v>
      </c>
      <c r="L8" s="113">
        <f ca="1">J8/J9</f>
        <v>0.14430542967399532</v>
      </c>
      <c r="M8" s="113">
        <f t="shared" ca="1" si="0"/>
        <v>6.838867496295746E-2</v>
      </c>
    </row>
    <row r="9" spans="1:13" ht="45" customHeight="1" thickBot="1">
      <c r="A9" s="76" t="s">
        <v>95</v>
      </c>
      <c r="B9" s="24" t="s">
        <v>37</v>
      </c>
      <c r="C9" s="78">
        <v>155</v>
      </c>
      <c r="D9" s="23">
        <f t="shared" si="1"/>
        <v>36</v>
      </c>
      <c r="E9" s="29">
        <v>5580</v>
      </c>
      <c r="F9" s="103" t="s">
        <v>62</v>
      </c>
      <c r="G9" s="77"/>
      <c r="I9" s="108" t="s">
        <v>136</v>
      </c>
      <c r="J9" s="150">
        <f ca="1">SUM(J4:J8)</f>
        <v>133778.75</v>
      </c>
      <c r="K9" s="154">
        <f ca="1">J9/'Invested Stocks'!E12</f>
        <v>1.4570340670973609E-2</v>
      </c>
      <c r="L9" s="114" t="s">
        <v>104</v>
      </c>
      <c r="M9" s="114">
        <f t="shared" ca="1" si="0"/>
        <v>0.47391615906245765</v>
      </c>
    </row>
    <row r="10" spans="1:13" ht="45" customHeight="1">
      <c r="A10" s="76" t="s">
        <v>106</v>
      </c>
      <c r="B10" s="24" t="s">
        <v>14</v>
      </c>
      <c r="C10" s="78">
        <v>111</v>
      </c>
      <c r="D10" s="23">
        <f t="shared" si="1"/>
        <v>16</v>
      </c>
      <c r="E10" s="29">
        <v>1776</v>
      </c>
      <c r="F10" s="103" t="s">
        <v>61</v>
      </c>
      <c r="G10" s="77"/>
      <c r="I10" s="105" t="s">
        <v>15</v>
      </c>
      <c r="J10" s="147">
        <f ca="1">SUMIF($B$4:$E$41,"TCS",$E$4:$E$41)</f>
        <v>21316</v>
      </c>
      <c r="K10" s="152">
        <f ca="1">J10/'Invested Stocks'!E14</f>
        <v>2.0618849881017937E-2</v>
      </c>
      <c r="L10" s="111">
        <f ca="1">J10/J15</f>
        <v>0.56585947539867798</v>
      </c>
      <c r="M10" s="111">
        <f t="shared" ca="1" si="0"/>
        <v>7.5512716680155467E-2</v>
      </c>
    </row>
    <row r="11" spans="1:13" ht="45" customHeight="1">
      <c r="A11" s="76">
        <v>42737</v>
      </c>
      <c r="B11" s="24" t="s">
        <v>15</v>
      </c>
      <c r="C11" s="78">
        <v>417</v>
      </c>
      <c r="D11" s="23">
        <v>6.5</v>
      </c>
      <c r="E11" s="29">
        <f>C11*D11</f>
        <v>2710.5</v>
      </c>
      <c r="F11" s="103" t="s">
        <v>60</v>
      </c>
      <c r="G11" s="77"/>
      <c r="I11" s="106" t="s">
        <v>63</v>
      </c>
      <c r="J11" s="148">
        <f ca="1">SUMIF($B$4:$E$41,"Ashok Leyland",$E$4:$E$41)</f>
        <v>9623.64</v>
      </c>
      <c r="K11" s="153">
        <f ca="1">J11/'Invested Stocks'!E15</f>
        <v>1.9247378161628623E-2</v>
      </c>
      <c r="L11" s="112">
        <f ca="1">J11/J15</f>
        <v>0.25547137745476323</v>
      </c>
      <c r="M11" s="112">
        <f t="shared" ca="1" si="0"/>
        <v>3.4092099866382591E-2</v>
      </c>
    </row>
    <row r="12" spans="1:13" ht="45" customHeight="1">
      <c r="A12" s="76">
        <v>42776</v>
      </c>
      <c r="B12" s="24" t="s">
        <v>82</v>
      </c>
      <c r="C12" s="78">
        <v>2212</v>
      </c>
      <c r="D12" s="23">
        <v>2</v>
      </c>
      <c r="E12" s="29">
        <f>C12*D12</f>
        <v>4424</v>
      </c>
      <c r="F12" s="103" t="s">
        <v>62</v>
      </c>
      <c r="G12" s="77"/>
      <c r="I12" s="106" t="s">
        <v>64</v>
      </c>
      <c r="J12" s="148">
        <f ca="1">SUMIF($B$4:$E$41,"Wabco India",$E$4:$E$41)</f>
        <v>1162</v>
      </c>
      <c r="K12" s="153">
        <f ca="1">J12/'Invested Stocks'!E24</f>
        <v>1.5621124546204316E-3</v>
      </c>
      <c r="L12" s="112">
        <f ca="1">J12/J15</f>
        <v>3.084672126164683E-2</v>
      </c>
      <c r="M12" s="112">
        <f t="shared" ca="1" si="0"/>
        <v>4.1164278843282345E-3</v>
      </c>
    </row>
    <row r="13" spans="1:13" ht="45" customHeight="1">
      <c r="A13" s="76">
        <v>42779</v>
      </c>
      <c r="B13" s="24" t="s">
        <v>126</v>
      </c>
      <c r="C13" s="78">
        <v>3546</v>
      </c>
      <c r="D13" s="23">
        <f t="shared" ref="D13:D40" si="2">E13/C13</f>
        <v>4</v>
      </c>
      <c r="E13" s="29">
        <v>14184</v>
      </c>
      <c r="F13" s="103" t="s">
        <v>62</v>
      </c>
      <c r="G13" s="77"/>
      <c r="I13" s="106" t="s">
        <v>83</v>
      </c>
      <c r="J13" s="148">
        <f ca="1">SUMIF($B$4:$E$41,"S H Kelkar",$E$4:$E$41)</f>
        <v>2950.49</v>
      </c>
      <c r="K13" s="153">
        <f ca="1">J13/'Invested Stocks'!E16</f>
        <v>2.9472266832549659E-3</v>
      </c>
      <c r="L13" s="112">
        <f ca="1">J13/J15</f>
        <v>7.8324391235177579E-2</v>
      </c>
      <c r="M13" s="112">
        <f t="shared" ca="1" si="0"/>
        <v>1.0452219714657153E-2</v>
      </c>
    </row>
    <row r="14" spans="1:13" ht="45" customHeight="1" thickBot="1">
      <c r="A14" s="76">
        <v>42779</v>
      </c>
      <c r="B14" s="24" t="s">
        <v>81</v>
      </c>
      <c r="C14" s="78">
        <v>5417</v>
      </c>
      <c r="D14" s="23">
        <f t="shared" si="2"/>
        <v>2.3164112977662912</v>
      </c>
      <c r="E14" s="29">
        <v>12548</v>
      </c>
      <c r="F14" s="103" t="s">
        <v>61</v>
      </c>
      <c r="G14" s="77"/>
      <c r="I14" s="107" t="s">
        <v>94</v>
      </c>
      <c r="J14" s="149">
        <f ca="1">SUMIF($B$4:$E$41,"Glenmark Pharma",$E$4:$E$41)</f>
        <v>2618</v>
      </c>
      <c r="K14" s="155">
        <f ca="1">J14/'Invested Stocks'!E19</f>
        <v>1.7642283364317397E-3</v>
      </c>
      <c r="L14" s="113">
        <f ca="1">J14/J15</f>
        <v>6.9498034649734419E-2</v>
      </c>
      <c r="M14" s="113">
        <f t="shared" ca="1" si="0"/>
        <v>9.2743616189081904E-3</v>
      </c>
    </row>
    <row r="15" spans="1:13" ht="45" customHeight="1" thickBot="1">
      <c r="A15" s="76">
        <v>42783</v>
      </c>
      <c r="B15" s="81" t="s">
        <v>130</v>
      </c>
      <c r="C15" s="78">
        <v>718</v>
      </c>
      <c r="D15" s="23">
        <f t="shared" si="2"/>
        <v>10</v>
      </c>
      <c r="E15" s="29">
        <v>7180</v>
      </c>
      <c r="F15" s="103" t="s">
        <v>62</v>
      </c>
      <c r="G15" s="77"/>
      <c r="I15" s="108" t="s">
        <v>137</v>
      </c>
      <c r="J15" s="150">
        <f ca="1">SUM(J10:J14)</f>
        <v>37670.129999999997</v>
      </c>
      <c r="K15" s="154">
        <f ca="1">J15/'Invested Stocks'!E20</f>
        <v>6.0244513837966742E-3</v>
      </c>
      <c r="L15" s="114" t="s">
        <v>104</v>
      </c>
      <c r="M15" s="114">
        <f t="shared" ca="1" si="0"/>
        <v>0.13344782576443162</v>
      </c>
    </row>
    <row r="16" spans="1:13" ht="45" customHeight="1" thickBot="1">
      <c r="A16" s="76">
        <v>42806</v>
      </c>
      <c r="B16" s="81" t="s">
        <v>135</v>
      </c>
      <c r="C16" s="78">
        <v>8849</v>
      </c>
      <c r="D16" s="23">
        <f t="shared" si="2"/>
        <v>1.4000000000000001</v>
      </c>
      <c r="E16" s="29">
        <v>12388.6</v>
      </c>
      <c r="F16" s="103" t="s">
        <v>62</v>
      </c>
      <c r="G16" s="77"/>
      <c r="I16" s="108" t="s">
        <v>138</v>
      </c>
      <c r="J16" s="150">
        <f>SUMIF($F$4:$F$41,"Short Term",$E$4:$E$41)</f>
        <v>99767.700000000012</v>
      </c>
      <c r="K16" s="154" t="s">
        <v>104</v>
      </c>
      <c r="L16" s="114" t="s">
        <v>104</v>
      </c>
      <c r="M16" s="114">
        <f t="shared" si="0"/>
        <v>0.35343075923863515</v>
      </c>
    </row>
    <row r="17" spans="1:7" ht="45" customHeight="1">
      <c r="A17" s="76">
        <v>42888</v>
      </c>
      <c r="B17" s="81" t="s">
        <v>162</v>
      </c>
      <c r="C17" s="78">
        <f>'Invested Stocks'!C5</f>
        <v>111</v>
      </c>
      <c r="D17" s="23">
        <f t="shared" si="2"/>
        <v>38</v>
      </c>
      <c r="E17" s="29">
        <f>-'Cash Movement'!C68</f>
        <v>4218</v>
      </c>
      <c r="F17" s="103" t="s">
        <v>61</v>
      </c>
      <c r="G17" s="77"/>
    </row>
    <row r="18" spans="1:7" ht="45" customHeight="1">
      <c r="A18" s="76">
        <v>42912</v>
      </c>
      <c r="B18" s="81" t="s">
        <v>15</v>
      </c>
      <c r="C18" s="78">
        <v>417</v>
      </c>
      <c r="D18" s="23">
        <f t="shared" si="2"/>
        <v>27.5</v>
      </c>
      <c r="E18" s="29">
        <v>11467.5</v>
      </c>
      <c r="F18" s="103" t="s">
        <v>60</v>
      </c>
      <c r="G18" s="77"/>
    </row>
    <row r="19" spans="1:7" ht="45" customHeight="1">
      <c r="A19" s="76" t="s">
        <v>169</v>
      </c>
      <c r="B19" s="81" t="s">
        <v>74</v>
      </c>
      <c r="C19" s="78">
        <v>1389</v>
      </c>
      <c r="D19" s="23">
        <f t="shared" si="2"/>
        <v>7.65</v>
      </c>
      <c r="E19" s="29">
        <v>10625.85</v>
      </c>
      <c r="F19" s="103" t="s">
        <v>61</v>
      </c>
      <c r="G19" s="77"/>
    </row>
    <row r="20" spans="1:7" ht="45" customHeight="1">
      <c r="A20" s="76">
        <v>42921</v>
      </c>
      <c r="B20" s="81" t="s">
        <v>16</v>
      </c>
      <c r="C20" s="78">
        <v>2108</v>
      </c>
      <c r="D20" s="23">
        <f t="shared" si="2"/>
        <v>10</v>
      </c>
      <c r="E20" s="29">
        <v>21080</v>
      </c>
      <c r="F20" s="103" t="s">
        <v>61</v>
      </c>
      <c r="G20" s="77"/>
    </row>
    <row r="21" spans="1:7" ht="45" customHeight="1">
      <c r="A21" s="76">
        <v>42940</v>
      </c>
      <c r="B21" s="81" t="s">
        <v>186</v>
      </c>
      <c r="C21" s="78">
        <v>351</v>
      </c>
      <c r="D21" s="23">
        <f t="shared" si="2"/>
        <v>55</v>
      </c>
      <c r="E21" s="29">
        <v>19305</v>
      </c>
      <c r="F21" s="103" t="s">
        <v>61</v>
      </c>
      <c r="G21" s="77"/>
    </row>
    <row r="22" spans="1:7" ht="45" customHeight="1">
      <c r="A22" s="76">
        <v>42941</v>
      </c>
      <c r="B22" s="81" t="s">
        <v>187</v>
      </c>
      <c r="C22" s="78">
        <v>6169</v>
      </c>
      <c r="D22" s="23">
        <f t="shared" si="2"/>
        <v>1.5599999999999998</v>
      </c>
      <c r="E22" s="29">
        <v>9623.64</v>
      </c>
      <c r="F22" s="103" t="s">
        <v>60</v>
      </c>
      <c r="G22" s="77"/>
    </row>
    <row r="23" spans="1:7" ht="45" customHeight="1">
      <c r="A23" s="76">
        <v>42950</v>
      </c>
      <c r="B23" s="81" t="s">
        <v>15</v>
      </c>
      <c r="C23" s="78">
        <v>417</v>
      </c>
      <c r="D23" s="23">
        <f t="shared" si="2"/>
        <v>7</v>
      </c>
      <c r="E23" s="29">
        <v>2919</v>
      </c>
      <c r="F23" s="103" t="s">
        <v>60</v>
      </c>
      <c r="G23" s="77"/>
    </row>
    <row r="24" spans="1:7" ht="45" customHeight="1">
      <c r="A24" s="76">
        <v>42957</v>
      </c>
      <c r="B24" s="81" t="s">
        <v>196</v>
      </c>
      <c r="C24" s="78">
        <v>3039</v>
      </c>
      <c r="D24" s="23">
        <f t="shared" si="2"/>
        <v>2.8000000000000003</v>
      </c>
      <c r="E24" s="29">
        <v>8509.2000000000007</v>
      </c>
      <c r="F24" s="103" t="s">
        <v>62</v>
      </c>
      <c r="G24" s="77"/>
    </row>
    <row r="25" spans="1:7" ht="45" customHeight="1">
      <c r="A25" s="76">
        <v>42958</v>
      </c>
      <c r="B25" s="81" t="s">
        <v>197</v>
      </c>
      <c r="C25" s="78">
        <v>6441</v>
      </c>
      <c r="D25" s="23">
        <f t="shared" si="2"/>
        <v>1.7999999999999998</v>
      </c>
      <c r="E25" s="29">
        <v>11593.8</v>
      </c>
      <c r="F25" s="103" t="s">
        <v>62</v>
      </c>
      <c r="G25" s="77"/>
    </row>
    <row r="26" spans="1:7" ht="45" customHeight="1">
      <c r="A26" s="76">
        <v>42961</v>
      </c>
      <c r="B26" s="81" t="s">
        <v>198</v>
      </c>
      <c r="C26" s="78">
        <v>6156</v>
      </c>
      <c r="D26" s="23">
        <f t="shared" si="2"/>
        <v>2.5</v>
      </c>
      <c r="E26" s="29">
        <v>15390</v>
      </c>
      <c r="F26" s="103" t="s">
        <v>62</v>
      </c>
      <c r="G26" s="77"/>
    </row>
    <row r="27" spans="1:7" ht="45" customHeight="1">
      <c r="A27" s="76">
        <v>42966</v>
      </c>
      <c r="B27" s="81" t="s">
        <v>203</v>
      </c>
      <c r="C27" s="78">
        <v>1686</v>
      </c>
      <c r="D27" s="23">
        <f t="shared" si="2"/>
        <v>1.7499940688018978</v>
      </c>
      <c r="E27" s="29">
        <v>2950.49</v>
      </c>
      <c r="F27" s="103" t="s">
        <v>60</v>
      </c>
      <c r="G27" s="77"/>
    </row>
    <row r="28" spans="1:7" ht="45" customHeight="1">
      <c r="A28" s="76">
        <v>43004</v>
      </c>
      <c r="B28" s="81" t="s">
        <v>222</v>
      </c>
      <c r="C28" s="78">
        <v>1076</v>
      </c>
      <c r="D28" s="23">
        <f t="shared" si="2"/>
        <v>4.5</v>
      </c>
      <c r="E28" s="29">
        <v>4842</v>
      </c>
      <c r="F28" s="103" t="s">
        <v>62</v>
      </c>
      <c r="G28" s="77"/>
    </row>
    <row r="29" spans="1:7" ht="45" customHeight="1">
      <c r="A29" s="76">
        <v>43006</v>
      </c>
      <c r="B29" s="81" t="s">
        <v>223</v>
      </c>
      <c r="C29" s="78">
        <v>166</v>
      </c>
      <c r="D29" s="23">
        <f t="shared" si="2"/>
        <v>7</v>
      </c>
      <c r="E29" s="29">
        <v>1162</v>
      </c>
      <c r="F29" s="103" t="s">
        <v>60</v>
      </c>
      <c r="G29" s="77"/>
    </row>
    <row r="30" spans="1:7" ht="45" customHeight="1">
      <c r="A30" s="76">
        <v>43011</v>
      </c>
      <c r="B30" s="81" t="s">
        <v>81</v>
      </c>
      <c r="C30" s="78">
        <v>8522</v>
      </c>
      <c r="D30" s="23">
        <f t="shared" si="2"/>
        <v>0.81506688570758035</v>
      </c>
      <c r="E30" s="29">
        <v>6946</v>
      </c>
      <c r="F30" s="103" t="s">
        <v>61</v>
      </c>
      <c r="G30" s="77"/>
    </row>
    <row r="31" spans="1:7" ht="45" customHeight="1">
      <c r="A31" s="76">
        <v>43011</v>
      </c>
      <c r="B31" s="81" t="s">
        <v>230</v>
      </c>
      <c r="C31" s="78">
        <v>1309</v>
      </c>
      <c r="D31" s="23">
        <f t="shared" si="2"/>
        <v>2</v>
      </c>
      <c r="E31" s="29">
        <v>2618</v>
      </c>
      <c r="F31" s="103" t="s">
        <v>60</v>
      </c>
      <c r="G31" s="77"/>
    </row>
    <row r="32" spans="1:7" ht="45" customHeight="1">
      <c r="A32" s="76">
        <v>43027</v>
      </c>
      <c r="B32" s="81" t="s">
        <v>241</v>
      </c>
      <c r="C32" s="78">
        <v>7396</v>
      </c>
      <c r="D32" s="23">
        <f t="shared" si="2"/>
        <v>0.5</v>
      </c>
      <c r="E32" s="29">
        <v>3698</v>
      </c>
      <c r="F32" s="103" t="s">
        <v>242</v>
      </c>
      <c r="G32" s="77"/>
    </row>
    <row r="33" spans="1:10" ht="45" customHeight="1">
      <c r="A33" s="76">
        <v>43032</v>
      </c>
      <c r="B33" s="81" t="s">
        <v>244</v>
      </c>
      <c r="C33" s="78">
        <v>8766</v>
      </c>
      <c r="D33" s="23">
        <f t="shared" si="2"/>
        <v>4.6554871092858774E-2</v>
      </c>
      <c r="E33" s="29">
        <v>408.1</v>
      </c>
      <c r="F33" s="103" t="s">
        <v>242</v>
      </c>
      <c r="G33" s="77"/>
    </row>
    <row r="34" spans="1:10" ht="45" customHeight="1">
      <c r="A34" s="76">
        <v>43039</v>
      </c>
      <c r="B34" s="81" t="s">
        <v>245</v>
      </c>
      <c r="C34" s="78">
        <v>417</v>
      </c>
      <c r="D34" s="23">
        <f t="shared" si="2"/>
        <v>7</v>
      </c>
      <c r="E34" s="29">
        <v>2919</v>
      </c>
      <c r="F34" s="103" t="s">
        <v>243</v>
      </c>
      <c r="G34" s="77"/>
    </row>
    <row r="35" spans="1:10" ht="45" customHeight="1">
      <c r="A35" s="76">
        <v>43042</v>
      </c>
      <c r="B35" s="81" t="s">
        <v>74</v>
      </c>
      <c r="C35" s="78">
        <v>1389</v>
      </c>
      <c r="D35" s="23">
        <f t="shared" si="2"/>
        <v>2.65</v>
      </c>
      <c r="E35" s="29">
        <v>3680.85</v>
      </c>
      <c r="F35" s="103" t="s">
        <v>61</v>
      </c>
      <c r="G35" s="77"/>
    </row>
    <row r="36" spans="1:10" ht="45" customHeight="1">
      <c r="A36" s="76">
        <v>43042</v>
      </c>
      <c r="B36" s="81" t="s">
        <v>251</v>
      </c>
      <c r="C36" s="78">
        <v>794</v>
      </c>
      <c r="D36" s="23">
        <f t="shared" si="2"/>
        <v>13</v>
      </c>
      <c r="E36" s="29">
        <v>10322</v>
      </c>
      <c r="F36" s="103" t="s">
        <v>62</v>
      </c>
      <c r="G36" s="77"/>
    </row>
    <row r="37" spans="1:10" ht="45" customHeight="1">
      <c r="A37" s="76">
        <v>43049</v>
      </c>
      <c r="B37" s="81" t="s">
        <v>81</v>
      </c>
      <c r="C37" s="78">
        <v>8522</v>
      </c>
      <c r="D37" s="23">
        <f t="shared" si="2"/>
        <v>3.0563248063834783</v>
      </c>
      <c r="E37" s="29">
        <v>26046</v>
      </c>
      <c r="F37" s="103" t="s">
        <v>61</v>
      </c>
      <c r="G37" s="77"/>
    </row>
    <row r="38" spans="1:10" ht="45" customHeight="1">
      <c r="A38" s="76">
        <v>43053</v>
      </c>
      <c r="B38" s="81" t="s">
        <v>16</v>
      </c>
      <c r="C38" s="78">
        <v>1688</v>
      </c>
      <c r="D38" s="23">
        <f t="shared" si="2"/>
        <v>8</v>
      </c>
      <c r="E38" s="29">
        <v>13504</v>
      </c>
      <c r="F38" s="103" t="s">
        <v>61</v>
      </c>
      <c r="G38" s="77"/>
    </row>
    <row r="39" spans="1:10" ht="45" customHeight="1">
      <c r="A39" s="76">
        <v>43069</v>
      </c>
      <c r="B39" s="81" t="s">
        <v>275</v>
      </c>
      <c r="C39" s="78">
        <v>2124</v>
      </c>
      <c r="D39" s="23">
        <f t="shared" si="2"/>
        <v>1.5</v>
      </c>
      <c r="E39" s="29">
        <v>3186</v>
      </c>
      <c r="F39" s="103" t="s">
        <v>271</v>
      </c>
      <c r="G39" s="77"/>
    </row>
    <row r="40" spans="1:10" ht="45" customHeight="1">
      <c r="A40" s="76">
        <v>43091</v>
      </c>
      <c r="B40" s="81" t="s">
        <v>162</v>
      </c>
      <c r="C40" s="78">
        <v>111</v>
      </c>
      <c r="D40" s="23">
        <f t="shared" si="2"/>
        <v>33</v>
      </c>
      <c r="E40" s="29">
        <v>3663</v>
      </c>
      <c r="F40" s="103" t="s">
        <v>61</v>
      </c>
      <c r="G40" s="77"/>
    </row>
    <row r="41" spans="1:10" ht="45" customHeight="1" thickBot="1">
      <c r="A41" s="19"/>
      <c r="B41" s="18"/>
      <c r="C41" s="18"/>
      <c r="D41" s="18"/>
      <c r="E41" s="18"/>
      <c r="F41" s="17" t="s">
        <v>237</v>
      </c>
      <c r="G41" s="41"/>
    </row>
    <row r="42" spans="1:10">
      <c r="E42" s="80">
        <f>SUM(E4:E41)</f>
        <v>282283.58</v>
      </c>
      <c r="F42" s="80"/>
    </row>
    <row r="43" spans="1:10">
      <c r="J43" s="115"/>
    </row>
  </sheetData>
  <mergeCells count="1">
    <mergeCell ref="A1:G1"/>
  </mergeCells>
  <phoneticPr fontId="37" type="noConversion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0"/>
  <sheetViews>
    <sheetView zoomScaleNormal="100" workbookViewId="0">
      <selection activeCell="I22" sqref="I22"/>
    </sheetView>
  </sheetViews>
  <sheetFormatPr defaultRowHeight="15"/>
  <cols>
    <col min="1" max="1" width="26.7109375" customWidth="1"/>
    <col min="2" max="2" width="20.85546875" customWidth="1"/>
    <col min="5" max="5" width="26.7109375" customWidth="1"/>
    <col min="6" max="6" width="20.85546875" customWidth="1"/>
    <col min="9" max="9" width="26.7109375" customWidth="1"/>
    <col min="10" max="10" width="20.85546875" customWidth="1"/>
    <col min="11" max="11" width="8.5703125" bestFit="1" customWidth="1"/>
    <col min="13" max="13" width="26.7109375" customWidth="1"/>
    <col min="14" max="14" width="20.85546875" customWidth="1"/>
    <col min="15" max="15" width="7.85546875" customWidth="1"/>
    <col min="16" max="16" width="4.7109375" customWidth="1"/>
    <col min="17" max="17" width="26.7109375" customWidth="1"/>
    <col min="18" max="18" width="20.85546875" customWidth="1"/>
    <col min="19" max="19" width="9.140625" bestFit="1" customWidth="1"/>
    <col min="20" max="20" width="3.7109375" customWidth="1"/>
    <col min="21" max="21" width="26.7109375" customWidth="1"/>
    <col min="22" max="22" width="20.85546875" customWidth="1"/>
    <col min="23" max="23" width="8.5703125" customWidth="1"/>
    <col min="26" max="26" width="30.42578125" customWidth="1"/>
    <col min="28" max="28" width="13.85546875" customWidth="1"/>
    <col min="29" max="29" width="10.28515625" customWidth="1"/>
  </cols>
  <sheetData>
    <row r="1" spans="1:29" ht="24.75" customHeight="1">
      <c r="A1" s="379" t="s">
        <v>296</v>
      </c>
      <c r="B1" s="380"/>
      <c r="E1" s="379" t="s">
        <v>270</v>
      </c>
      <c r="F1" s="380"/>
      <c r="I1" s="379" t="s">
        <v>246</v>
      </c>
      <c r="J1" s="380"/>
      <c r="M1" s="379" t="s">
        <v>224</v>
      </c>
      <c r="N1" s="380"/>
      <c r="Q1" s="379" t="s">
        <v>213</v>
      </c>
      <c r="R1" s="380"/>
      <c r="U1" s="379" t="s">
        <v>188</v>
      </c>
      <c r="V1" s="380"/>
    </row>
    <row r="2" spans="1:29" ht="26.25" customHeight="1">
      <c r="A2" s="381"/>
      <c r="B2" s="382"/>
      <c r="E2" s="381"/>
      <c r="F2" s="382"/>
      <c r="I2" s="381"/>
      <c r="J2" s="382"/>
      <c r="M2" s="381"/>
      <c r="N2" s="382"/>
      <c r="Q2" s="381"/>
      <c r="R2" s="382"/>
      <c r="U2" s="381"/>
      <c r="V2" s="382"/>
    </row>
    <row r="3" spans="1:29" ht="19.5" customHeight="1">
      <c r="A3" s="33" t="s">
        <v>40</v>
      </c>
      <c r="B3" s="32"/>
      <c r="E3" s="33" t="s">
        <v>40</v>
      </c>
      <c r="F3" s="32"/>
      <c r="I3" s="33" t="s">
        <v>40</v>
      </c>
      <c r="J3" s="32"/>
      <c r="M3" s="33" t="s">
        <v>40</v>
      </c>
      <c r="N3" s="32"/>
      <c r="Q3" s="33" t="s">
        <v>40</v>
      </c>
      <c r="R3" s="32"/>
      <c r="U3" s="33" t="s">
        <v>40</v>
      </c>
      <c r="V3" s="32"/>
    </row>
    <row r="4" spans="1:29" ht="19.5" customHeight="1">
      <c r="A4" s="31" t="s">
        <v>121</v>
      </c>
      <c r="B4" s="117">
        <f>'[1]Account Summary'!$E$33/1000</f>
        <v>775.76824999999951</v>
      </c>
      <c r="E4" s="31" t="s">
        <v>121</v>
      </c>
      <c r="F4" s="117">
        <f>'[2]Account Summary'!$E$31/1000</f>
        <v>-868.65464999999995</v>
      </c>
      <c r="I4" s="31" t="s">
        <v>121</v>
      </c>
      <c r="J4" s="117">
        <f>'[3]Account Summary'!$E$29/1000</f>
        <v>1385.9049</v>
      </c>
      <c r="M4" s="31" t="s">
        <v>121</v>
      </c>
      <c r="N4" s="117">
        <f>'[4]Account Summary'!$E$27/1000</f>
        <v>297.17225000000013</v>
      </c>
      <c r="Q4" s="31" t="s">
        <v>121</v>
      </c>
      <c r="R4" s="117">
        <f>'[5]Account Summary'!$E$26/1000</f>
        <v>-471.90820310000021</v>
      </c>
      <c r="U4" s="31" t="s">
        <v>121</v>
      </c>
      <c r="V4" s="117">
        <f>'[5]Account Summary'!$E$25/1000</f>
        <v>568.19680000000028</v>
      </c>
      <c r="AB4" s="20"/>
    </row>
    <row r="5" spans="1:29" ht="19.5" customHeight="1">
      <c r="A5" s="31" t="s">
        <v>267</v>
      </c>
      <c r="B5" s="117">
        <f>'[1]Account Summary'!$J$33/1000</f>
        <v>476.12959999999964</v>
      </c>
      <c r="E5" s="31" t="s">
        <v>267</v>
      </c>
      <c r="F5" s="117">
        <f>'[2]Account Summary'!$J$31/1000</f>
        <v>221.06270000000018</v>
      </c>
      <c r="I5" s="31" t="s">
        <v>267</v>
      </c>
      <c r="J5" s="117">
        <v>0</v>
      </c>
      <c r="M5" s="31" t="s">
        <v>267</v>
      </c>
      <c r="N5" s="117"/>
      <c r="Q5" s="31" t="s">
        <v>267</v>
      </c>
      <c r="R5" s="117"/>
      <c r="U5" s="31" t="s">
        <v>267</v>
      </c>
      <c r="V5" s="117"/>
      <c r="AB5" s="20"/>
    </row>
    <row r="6" spans="1:29" ht="19.5" customHeight="1">
      <c r="A6" s="31" t="s">
        <v>298</v>
      </c>
      <c r="B6" s="117">
        <f>'[1]Account Summary'!$J$36/1000</f>
        <v>-43.143099999999919</v>
      </c>
      <c r="E6" s="31" t="s">
        <v>298</v>
      </c>
      <c r="F6" s="117">
        <v>0</v>
      </c>
      <c r="I6" s="31" t="s">
        <v>298</v>
      </c>
      <c r="J6" s="117">
        <v>0</v>
      </c>
      <c r="M6" s="31" t="s">
        <v>298</v>
      </c>
      <c r="N6" s="117"/>
      <c r="Q6" s="31" t="s">
        <v>298</v>
      </c>
      <c r="R6" s="117"/>
      <c r="U6" s="31" t="s">
        <v>298</v>
      </c>
      <c r="V6" s="117"/>
      <c r="AB6" s="20"/>
    </row>
    <row r="7" spans="1:29" ht="19.5" customHeight="1">
      <c r="A7" s="31" t="s">
        <v>122</v>
      </c>
      <c r="B7" s="117">
        <f>'[1]Account Summary'!$G$33/1000</f>
        <v>89.690788672199943</v>
      </c>
      <c r="E7" s="31" t="s">
        <v>122</v>
      </c>
      <c r="F7" s="117">
        <f>'[2]Account Summary'!$G$31/1000</f>
        <v>6.2972643960001875</v>
      </c>
      <c r="I7" s="31" t="s">
        <v>122</v>
      </c>
      <c r="J7" s="117">
        <f>'[3]Account Summary'!$G$29/1000</f>
        <v>95.763647789999837</v>
      </c>
      <c r="M7" s="31" t="s">
        <v>122</v>
      </c>
      <c r="N7" s="117">
        <f>'[4]Account Summary'!$G$27/1000</f>
        <v>0.94030107379960826</v>
      </c>
      <c r="Q7" s="31" t="s">
        <v>122</v>
      </c>
      <c r="R7" s="117">
        <f>'[5]Account Summary'!$G$26/1000</f>
        <v>-104.99600444799988</v>
      </c>
      <c r="U7" s="31" t="s">
        <v>122</v>
      </c>
      <c r="V7" s="117">
        <f>'[5]Account Summary'!$G$25/1000</f>
        <v>59.093734843400192</v>
      </c>
    </row>
    <row r="8" spans="1:29" ht="19.5" customHeight="1">
      <c r="A8" s="34" t="s">
        <v>123</v>
      </c>
      <c r="B8" s="118">
        <f>B4+B7+B5+B6</f>
        <v>1298.4455386721991</v>
      </c>
      <c r="E8" s="34" t="s">
        <v>123</v>
      </c>
      <c r="F8" s="118">
        <f>F4+F7+F5</f>
        <v>-641.2946856039996</v>
      </c>
      <c r="I8" s="34" t="s">
        <v>123</v>
      </c>
      <c r="J8" s="118">
        <f>J4+J7</f>
        <v>1481.6685477899998</v>
      </c>
      <c r="M8" s="34" t="s">
        <v>123</v>
      </c>
      <c r="N8" s="118">
        <f>N4+N7</f>
        <v>298.11255107379975</v>
      </c>
      <c r="Q8" s="34" t="s">
        <v>123</v>
      </c>
      <c r="R8" s="118">
        <f>R4+R7</f>
        <v>-576.90420754800004</v>
      </c>
      <c r="U8" s="34" t="s">
        <v>123</v>
      </c>
      <c r="V8" s="118">
        <f>V4+V7</f>
        <v>627.29053484340045</v>
      </c>
    </row>
    <row r="9" spans="1:29" ht="3" customHeight="1">
      <c r="A9" s="34"/>
      <c r="B9" s="118"/>
      <c r="E9" s="34"/>
      <c r="F9" s="118"/>
      <c r="I9" s="34"/>
      <c r="J9" s="118"/>
      <c r="M9" s="34"/>
      <c r="N9" s="118"/>
      <c r="Q9" s="34"/>
      <c r="R9" s="118"/>
      <c r="U9" s="34"/>
      <c r="V9" s="118"/>
    </row>
    <row r="10" spans="1:29" ht="19.5" customHeight="1">
      <c r="A10" s="31" t="s">
        <v>119</v>
      </c>
      <c r="B10" s="117">
        <f>'[1]Account Summary'!$B$33/1000</f>
        <v>468.65104999999983</v>
      </c>
      <c r="E10" s="31" t="s">
        <v>119</v>
      </c>
      <c r="F10" s="117">
        <f>'[2]Account Summary'!$B$31/1000</f>
        <v>500.15819999999974</v>
      </c>
      <c r="I10" s="31" t="s">
        <v>119</v>
      </c>
      <c r="J10" s="117">
        <f>'[3]Account Summary'!$B$29/1000</f>
        <v>497.90535000000011</v>
      </c>
      <c r="M10" s="31" t="s">
        <v>119</v>
      </c>
      <c r="N10" s="117">
        <f>SUM('Sold Stocks'!$H$29:$H$33)/1000</f>
        <v>138.3298999999999</v>
      </c>
      <c r="Q10" s="31" t="s">
        <v>119</v>
      </c>
      <c r="R10" s="117">
        <f>SUM('[6]Sold Stocks'!$H$25:$H$28)/1000</f>
        <v>219.73585309999996</v>
      </c>
      <c r="U10" s="31" t="s">
        <v>119</v>
      </c>
      <c r="V10" s="117">
        <f>'[5]Account Summary'!$B$25/1000</f>
        <v>185.92544999999996</v>
      </c>
    </row>
    <row r="11" spans="1:29" ht="19.5" customHeight="1">
      <c r="A11" s="34" t="s">
        <v>120</v>
      </c>
      <c r="B11" s="118">
        <f>B10</f>
        <v>468.65104999999983</v>
      </c>
      <c r="E11" s="34" t="s">
        <v>120</v>
      </c>
      <c r="F11" s="118">
        <f>F10</f>
        <v>500.15819999999974</v>
      </c>
      <c r="I11" s="34" t="s">
        <v>120</v>
      </c>
      <c r="J11" s="118">
        <f>J10</f>
        <v>497.90535000000011</v>
      </c>
      <c r="M11" s="34" t="s">
        <v>120</v>
      </c>
      <c r="N11" s="118">
        <f>N10</f>
        <v>138.3298999999999</v>
      </c>
      <c r="Q11" s="34" t="s">
        <v>120</v>
      </c>
      <c r="R11" s="118">
        <f>R10</f>
        <v>219.73585309999996</v>
      </c>
      <c r="U11" s="34" t="s">
        <v>120</v>
      </c>
      <c r="V11" s="118">
        <f>V10</f>
        <v>185.92544999999996</v>
      </c>
    </row>
    <row r="12" spans="1:29" ht="19.5" customHeight="1">
      <c r="A12" s="34" t="s">
        <v>125</v>
      </c>
      <c r="B12" s="118">
        <f>SUM(Dividends!$E$40)/1000</f>
        <v>3.6629999999999998</v>
      </c>
      <c r="E12" s="34" t="s">
        <v>125</v>
      </c>
      <c r="F12" s="118">
        <f>SUM(Dividends!$E$35:$E$39)/1000</f>
        <v>56.738849999999999</v>
      </c>
      <c r="G12" s="313"/>
      <c r="I12" s="34" t="s">
        <v>125</v>
      </c>
      <c r="J12" s="118">
        <f>SUM(Dividends!$E$30:$E$34)/1000</f>
        <v>16.589099999999998</v>
      </c>
      <c r="M12" s="34" t="s">
        <v>125</v>
      </c>
      <c r="N12" s="118">
        <f>SUM(Dividends!$E$28:$E$29)/1000</f>
        <v>6.0039999999999996</v>
      </c>
      <c r="Q12" s="34" t="s">
        <v>125</v>
      </c>
      <c r="R12" s="118">
        <f>SUM([6]Dividends!$E$23:$E$27)/1000</f>
        <v>41.362490000000001</v>
      </c>
      <c r="U12" s="34" t="s">
        <v>125</v>
      </c>
      <c r="V12" s="118">
        <f>SUM(Dividends!$E$20:$E$22)/1000</f>
        <v>50.00864</v>
      </c>
    </row>
    <row r="13" spans="1:29" ht="19.5" customHeight="1">
      <c r="A13" s="45" t="s">
        <v>124</v>
      </c>
      <c r="B13" s="119">
        <f>B8+B11+B12</f>
        <v>1770.7595886721988</v>
      </c>
      <c r="C13" s="82">
        <f>B$13/(30000000/1000)</f>
        <v>5.9025319622406626E-2</v>
      </c>
      <c r="E13" s="45" t="s">
        <v>124</v>
      </c>
      <c r="F13" s="119">
        <f>F8+F11+F12</f>
        <v>-84.397635603999859</v>
      </c>
      <c r="G13" s="156">
        <f>F$13/(30000000/1000)</f>
        <v>-2.8132545201333286E-3</v>
      </c>
      <c r="I13" s="45" t="s">
        <v>124</v>
      </c>
      <c r="J13" s="119">
        <f>J8+J11+J12</f>
        <v>1996.16299779</v>
      </c>
      <c r="K13" s="82">
        <f>$J$13/(30000000/1000)</f>
        <v>6.6538766592999996E-2</v>
      </c>
      <c r="M13" s="45" t="s">
        <v>124</v>
      </c>
      <c r="N13" s="119">
        <f>N8+N11+N12</f>
        <v>442.44645107379966</v>
      </c>
      <c r="O13" s="82">
        <f>$N$13/(30000000/1000)</f>
        <v>1.4748215035793322E-2</v>
      </c>
      <c r="Q13" s="45" t="s">
        <v>124</v>
      </c>
      <c r="R13" s="119">
        <f>R8+R11+R12</f>
        <v>-315.80586444800008</v>
      </c>
      <c r="S13" s="156">
        <f>$R$13/('[6]Cash Movement'!$I$7/1000)</f>
        <v>-1.5790293222400005E-2</v>
      </c>
      <c r="U13" s="45" t="s">
        <v>124</v>
      </c>
      <c r="V13" s="119">
        <f>V8+V11+V12</f>
        <v>863.22462484340042</v>
      </c>
      <c r="W13" s="82">
        <f>$V$13/('Cash Movement'!$J$7/1000)</f>
        <v>4.3161231242170021E-2</v>
      </c>
      <c r="AB13" s="42"/>
      <c r="AC13" s="102"/>
    </row>
    <row r="14" spans="1:29" ht="19.5" customHeight="1">
      <c r="A14" s="44" t="s">
        <v>41</v>
      </c>
      <c r="B14" s="117"/>
      <c r="C14" s="165"/>
      <c r="E14" s="44" t="s">
        <v>41</v>
      </c>
      <c r="F14" s="117"/>
      <c r="G14" s="313"/>
      <c r="I14" s="44" t="s">
        <v>41</v>
      </c>
      <c r="J14" s="117"/>
      <c r="K14" s="165"/>
      <c r="M14" s="44" t="s">
        <v>41</v>
      </c>
      <c r="N14" s="117"/>
      <c r="O14" s="165"/>
      <c r="Q14" s="44" t="s">
        <v>41</v>
      </c>
      <c r="R14" s="117"/>
      <c r="U14" s="44" t="s">
        <v>41</v>
      </c>
      <c r="V14" s="117"/>
      <c r="AB14" s="42"/>
    </row>
    <row r="15" spans="1:29" ht="19.5" customHeight="1">
      <c r="A15" s="31" t="s">
        <v>23</v>
      </c>
      <c r="B15" s="117">
        <f>-SUM('Cash Movement'!$G$194:$G$223)/1000</f>
        <v>-101.45926819999981</v>
      </c>
      <c r="C15" s="165"/>
      <c r="E15" s="31" t="s">
        <v>23</v>
      </c>
      <c r="F15" s="117">
        <f>-SUM('Cash Movement'!$G$155:$G$193)/1000</f>
        <v>-117.65587169999955</v>
      </c>
      <c r="G15" s="313"/>
      <c r="I15" s="31" t="s">
        <v>23</v>
      </c>
      <c r="J15" s="117">
        <f>-SUM('Cash Movement'!$G$133:$G$154)/1000</f>
        <v>-388.18399910000011</v>
      </c>
      <c r="K15" s="165"/>
      <c r="L15" t="s">
        <v>237</v>
      </c>
      <c r="M15" s="31" t="s">
        <v>23</v>
      </c>
      <c r="N15" s="117">
        <f>-SUM('Cash Movement'!$G$106:$G$132)/1000</f>
        <v>-147.91968969999994</v>
      </c>
      <c r="O15" s="165"/>
      <c r="Q15" s="31" t="s">
        <v>23</v>
      </c>
      <c r="R15" s="117">
        <f>-SUM('[6]Cash Movement'!$F$89:$F$107)/1000</f>
        <v>-58.293389099999857</v>
      </c>
      <c r="U15" s="31" t="s">
        <v>23</v>
      </c>
      <c r="V15" s="117">
        <f>SUM('Cash Movement'!$G$77:$G$88)/-1000</f>
        <v>-67.765155100000086</v>
      </c>
    </row>
    <row r="16" spans="1:29" ht="19.5" customHeight="1">
      <c r="A16" s="31" t="s">
        <v>24</v>
      </c>
      <c r="B16" s="117">
        <f>-SUM('Cash Movement'!$H$133:$H$225)/1000</f>
        <v>0</v>
      </c>
      <c r="C16" s="165"/>
      <c r="E16" s="31" t="s">
        <v>24</v>
      </c>
      <c r="F16" s="117">
        <f>-SUM('Cash Movement'!$H$133:$H$225)/1000</f>
        <v>0</v>
      </c>
      <c r="G16" s="313"/>
      <c r="I16" s="31" t="s">
        <v>24</v>
      </c>
      <c r="J16" s="117">
        <f>-SUM('Cash Movement'!$H$133:$H$225)/1000</f>
        <v>0</v>
      </c>
      <c r="K16" s="165"/>
      <c r="M16" s="31" t="s">
        <v>24</v>
      </c>
      <c r="N16" s="117">
        <f>-SUM('Cash Movement'!$H$106:$H$225)/1000</f>
        <v>0</v>
      </c>
      <c r="O16" s="165"/>
      <c r="Q16" s="31" t="s">
        <v>24</v>
      </c>
      <c r="R16" s="117">
        <f>-SUM('[6]Cash Movement'!$G$89:$G$107)/1000</f>
        <v>-118</v>
      </c>
      <c r="U16" s="31" t="s">
        <v>24</v>
      </c>
      <c r="V16" s="117">
        <v>0</v>
      </c>
    </row>
    <row r="17" spans="1:23" ht="19.5" customHeight="1">
      <c r="A17" s="45" t="s">
        <v>42</v>
      </c>
      <c r="B17" s="119">
        <f>SUM(B15:B16)</f>
        <v>-101.45926819999981</v>
      </c>
      <c r="C17" s="165"/>
      <c r="E17" s="45" t="s">
        <v>42</v>
      </c>
      <c r="F17" s="119">
        <f>SUM(F15:F16)</f>
        <v>-117.65587169999955</v>
      </c>
      <c r="G17" s="313"/>
      <c r="I17" s="45" t="s">
        <v>42</v>
      </c>
      <c r="J17" s="119">
        <f>SUM(J15:J16)</f>
        <v>-388.18399910000011</v>
      </c>
      <c r="K17" s="165"/>
      <c r="M17" s="45" t="s">
        <v>42</v>
      </c>
      <c r="N17" s="119">
        <f>SUM(N15:N16)</f>
        <v>-147.91968969999994</v>
      </c>
      <c r="O17" s="165"/>
      <c r="Q17" s="45" t="s">
        <v>42</v>
      </c>
      <c r="R17" s="119">
        <f>SUM(R15:R16)</f>
        <v>-176.29338909999984</v>
      </c>
      <c r="U17" s="45" t="s">
        <v>42</v>
      </c>
      <c r="V17" s="119">
        <f>SUM(V15:V16)</f>
        <v>-67.765155100000086</v>
      </c>
    </row>
    <row r="18" spans="1:23" ht="19.5" customHeight="1" thickBot="1">
      <c r="A18" s="263" t="s">
        <v>43</v>
      </c>
      <c r="B18" s="264">
        <f>B13+B17</f>
        <v>1669.300320472199</v>
      </c>
      <c r="C18" s="82">
        <f>B$18/(30000000/1000)</f>
        <v>5.5643344015739969E-2</v>
      </c>
      <c r="E18" s="263" t="s">
        <v>43</v>
      </c>
      <c r="F18" s="264">
        <f>F13+F17</f>
        <v>-202.05350730399942</v>
      </c>
      <c r="G18" s="156">
        <f>F$18/(30000000/1000)</f>
        <v>-6.7351169101333144E-3</v>
      </c>
      <c r="I18" s="263" t="s">
        <v>43</v>
      </c>
      <c r="J18" s="264">
        <f>J13+J17</f>
        <v>1607.9789986899998</v>
      </c>
      <c r="K18" s="82">
        <f>$J$18/(30000000/1000)</f>
        <v>5.3599299956333328E-2</v>
      </c>
      <c r="M18" s="46" t="s">
        <v>43</v>
      </c>
      <c r="N18" s="120">
        <f>N13+N17</f>
        <v>294.52676137379973</v>
      </c>
      <c r="O18" s="82">
        <f>$N$18/(30000000/1000)</f>
        <v>9.8175587124599908E-3</v>
      </c>
      <c r="Q18" s="46" t="s">
        <v>43</v>
      </c>
      <c r="R18" s="120">
        <f>R13+R17</f>
        <v>-492.09925354799992</v>
      </c>
      <c r="S18" s="156">
        <f>$R$18/('[6]Cash Movement'!$I$7/1000)</f>
        <v>-2.4604962677399995E-2</v>
      </c>
      <c r="U18" s="46" t="s">
        <v>43</v>
      </c>
      <c r="V18" s="120">
        <f>V13+V17</f>
        <v>795.45946974340029</v>
      </c>
      <c r="W18" s="82">
        <f>$V$18/('Cash Movement'!$J$7/1000)</f>
        <v>3.9772973487170016E-2</v>
      </c>
    </row>
    <row r="19" spans="1:23" ht="19.5" customHeight="1">
      <c r="A19" s="265" t="s">
        <v>233</v>
      </c>
      <c r="B19" s="266">
        <v>300</v>
      </c>
      <c r="E19" s="265" t="s">
        <v>233</v>
      </c>
      <c r="F19" s="266">
        <v>315</v>
      </c>
      <c r="G19" s="313"/>
      <c r="I19" s="265" t="s">
        <v>233</v>
      </c>
      <c r="J19" s="266">
        <f>300000/1000</f>
        <v>300</v>
      </c>
      <c r="M19" s="265" t="s">
        <v>233</v>
      </c>
      <c r="N19" s="266">
        <f>220000/1000</f>
        <v>220</v>
      </c>
      <c r="Q19" s="265" t="s">
        <v>233</v>
      </c>
      <c r="R19" s="266">
        <f>210000/1000</f>
        <v>210</v>
      </c>
      <c r="U19" s="265" t="s">
        <v>233</v>
      </c>
      <c r="V19" s="266">
        <f>200000/1000</f>
        <v>200</v>
      </c>
    </row>
    <row r="20" spans="1:23" ht="19.5" customHeight="1" thickBot="1">
      <c r="A20" s="46" t="s">
        <v>234</v>
      </c>
      <c r="B20" s="120">
        <f>B18-B19</f>
        <v>1369.300320472199</v>
      </c>
      <c r="C20" s="82">
        <f>B20/B19</f>
        <v>4.5643344015739968</v>
      </c>
      <c r="E20" s="46" t="s">
        <v>234</v>
      </c>
      <c r="F20" s="120">
        <f>F18-F19</f>
        <v>-517.05350730399937</v>
      </c>
      <c r="G20" s="156">
        <f>F20/F19</f>
        <v>-1.6414397057269821</v>
      </c>
      <c r="I20" s="46" t="s">
        <v>234</v>
      </c>
      <c r="J20" s="120">
        <f>J18-J19</f>
        <v>1307.9789986899998</v>
      </c>
      <c r="K20" s="82">
        <f>J20/J19</f>
        <v>4.3599299956333324</v>
      </c>
      <c r="M20" s="46" t="s">
        <v>234</v>
      </c>
      <c r="N20" s="120">
        <f>N18-N19</f>
        <v>74.526761373799729</v>
      </c>
      <c r="O20" s="82">
        <f>N20/N19</f>
        <v>0.33875800624454422</v>
      </c>
      <c r="Q20" s="46" t="s">
        <v>234</v>
      </c>
      <c r="R20" s="120">
        <f>R18-R19</f>
        <v>-702.09925354799998</v>
      </c>
      <c r="S20" s="156">
        <f>R20/R19</f>
        <v>-3.3433297787999998</v>
      </c>
      <c r="U20" s="46" t="s">
        <v>234</v>
      </c>
      <c r="V20" s="120">
        <f>V18-V19</f>
        <v>595.45946974340029</v>
      </c>
      <c r="W20" s="82">
        <f>V20/V19</f>
        <v>2.9772973487170016</v>
      </c>
    </row>
  </sheetData>
  <mergeCells count="6">
    <mergeCell ref="A1:B2"/>
    <mergeCell ref="U1:V2"/>
    <mergeCell ref="M1:N2"/>
    <mergeCell ref="Q1:R2"/>
    <mergeCell ref="I1:J2"/>
    <mergeCell ref="E1:F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Holdings Ratio</vt:lpstr>
      <vt:lpstr>Cash Movement</vt:lpstr>
      <vt:lpstr>Pharma Sector</vt:lpstr>
      <vt:lpstr>Energy Sector</vt:lpstr>
      <vt:lpstr>Invested Stocks</vt:lpstr>
      <vt:lpstr>Sold Stocks</vt:lpstr>
      <vt:lpstr>Mutual Fund</vt:lpstr>
      <vt:lpstr>Dividends</vt:lpstr>
      <vt:lpstr>P&amp;L Monthly</vt:lpstr>
      <vt:lpstr>P&amp;L Quarter</vt:lpstr>
      <vt:lpstr>P&amp;L Yearly</vt:lpstr>
      <vt:lpstr>P&amp;L Consolidated</vt:lpstr>
      <vt:lpstr>Bank Statement</vt:lpstr>
      <vt:lpstr>Account Reconcilation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Abizher Mohamed</dc:creator>
  <cp:lastModifiedBy>Mohamed Abizher Mohamed</cp:lastModifiedBy>
  <cp:lastPrinted>2017-01-10T07:32:47Z</cp:lastPrinted>
  <dcterms:created xsi:type="dcterms:W3CDTF">2016-07-19T12:10:46Z</dcterms:created>
  <dcterms:modified xsi:type="dcterms:W3CDTF">2024-05-22T02:12:17Z</dcterms:modified>
</cp:coreProperties>
</file>