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30847ce2141707/Documents/Files and Docs/Old work files/Family Investments 2016-2018/financials history/p^0l consolidated/2017/"/>
    </mc:Choice>
  </mc:AlternateContent>
  <xr:revisionPtr revIDLastSave="0" documentId="11_0825FD80B67A51875C257E1B12ED943657A8DC61" xr6:coauthVersionLast="47" xr6:coauthVersionMax="47" xr10:uidLastSave="{00000000-0000-0000-0000-000000000000}"/>
  <bookViews>
    <workbookView xWindow="-120" yWindow="-120" windowWidth="29040" windowHeight="15720" tabRatio="938" activeTab="10" xr2:uid="{00000000-000D-0000-FFFF-FFFF00000000}"/>
  </bookViews>
  <sheets>
    <sheet name="December-17" sheetId="12" r:id="rId1"/>
    <sheet name="November-17" sheetId="11" r:id="rId2"/>
    <sheet name="October-17" sheetId="9" r:id="rId3"/>
    <sheet name="September-17" sheetId="8" r:id="rId4"/>
    <sheet name="August-17" sheetId="7" r:id="rId5"/>
    <sheet name="July-17" sheetId="3" r:id="rId6"/>
    <sheet name="Q4 - Oct to Dec'17" sheetId="10" r:id="rId7"/>
    <sheet name="Q3 - Jul to Sept'17" sheetId="6" r:id="rId8"/>
    <sheet name="Q2 - Apr to Jun'17" sheetId="4" r:id="rId9"/>
    <sheet name="Q1 - Jan to Mar'17" sheetId="2" r:id="rId10"/>
    <sheet name="2017" sheetId="13" r:id="rId11"/>
    <sheet name="2016" sheetId="5" r:id="rId12"/>
    <sheet name="Consolidated" sheetId="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3" l="1"/>
  <c r="F25" i="13"/>
  <c r="F7" i="13"/>
  <c r="F8" i="13"/>
  <c r="F9" i="13"/>
  <c r="F10" i="13"/>
  <c r="F11" i="13"/>
  <c r="F12" i="13"/>
  <c r="F13" i="13"/>
  <c r="F14" i="13"/>
  <c r="F15" i="13"/>
  <c r="F17" i="13"/>
  <c r="F18" i="13"/>
  <c r="F19" i="13"/>
  <c r="F20" i="13"/>
  <c r="F23" i="13" s="1"/>
  <c r="G23" i="13" s="1"/>
  <c r="B26" i="13"/>
  <c r="B25" i="13"/>
  <c r="B7" i="13"/>
  <c r="B8" i="13"/>
  <c r="B9" i="13"/>
  <c r="B10" i="13"/>
  <c r="B11" i="13"/>
  <c r="B12" i="13"/>
  <c r="B13" i="13"/>
  <c r="B14" i="13"/>
  <c r="B15" i="13"/>
  <c r="B17" i="13"/>
  <c r="B18" i="13"/>
  <c r="B19" i="13"/>
  <c r="B20" i="13"/>
  <c r="C20" i="13" s="1"/>
  <c r="B6" i="13"/>
  <c r="J27" i="13"/>
  <c r="K27" i="13" s="1"/>
  <c r="F24" i="13"/>
  <c r="F22" i="13"/>
  <c r="C15" i="13"/>
  <c r="J7" i="13"/>
  <c r="J11" i="13" l="1"/>
  <c r="J9" i="13"/>
  <c r="J8" i="13"/>
  <c r="B23" i="13"/>
  <c r="C23" i="13" s="1"/>
  <c r="G26" i="13"/>
  <c r="J25" i="13"/>
  <c r="J18" i="13"/>
  <c r="C26" i="13"/>
  <c r="B23" i="1" l="1"/>
  <c r="C23" i="1" s="1"/>
  <c r="B7" i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C21" i="1" s="1"/>
  <c r="B6" i="1"/>
  <c r="J27" i="10"/>
  <c r="K27" i="10" s="1"/>
  <c r="J27" i="12"/>
  <c r="K27" i="12" s="1"/>
  <c r="B27" i="12"/>
  <c r="B25" i="12"/>
  <c r="B7" i="12"/>
  <c r="B8" i="12"/>
  <c r="B8" i="10" s="1"/>
  <c r="J8" i="10" s="1"/>
  <c r="B9" i="12"/>
  <c r="B10" i="12"/>
  <c r="B11" i="12"/>
  <c r="B12" i="12"/>
  <c r="B13" i="12"/>
  <c r="B14" i="12"/>
  <c r="B15" i="12"/>
  <c r="B16" i="12"/>
  <c r="B17" i="12"/>
  <c r="B18" i="12"/>
  <c r="B19" i="12"/>
  <c r="B20" i="12"/>
  <c r="B6" i="12"/>
  <c r="B27" i="13" l="1"/>
  <c r="C27" i="13" s="1"/>
  <c r="C27" i="12"/>
  <c r="C15" i="12"/>
  <c r="C20" i="1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  <c r="F25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6" i="12"/>
  <c r="J23" i="1"/>
  <c r="K23" i="1" s="1"/>
  <c r="B21" i="10"/>
  <c r="B27" i="10"/>
  <c r="C27" i="10" s="1"/>
  <c r="J8" i="12" l="1"/>
  <c r="F22" i="10"/>
  <c r="F24" i="10"/>
  <c r="F27" i="12" l="1"/>
  <c r="J25" i="12"/>
  <c r="J18" i="12"/>
  <c r="J17" i="12"/>
  <c r="J14" i="12"/>
  <c r="J11" i="12"/>
  <c r="J19" i="12" l="1"/>
  <c r="F25" i="11"/>
  <c r="F7" i="11"/>
  <c r="F7" i="10" s="1"/>
  <c r="F9" i="11"/>
  <c r="F9" i="10" s="1"/>
  <c r="F10" i="11"/>
  <c r="F11" i="11"/>
  <c r="F12" i="11"/>
  <c r="F13" i="11"/>
  <c r="F14" i="11"/>
  <c r="F15" i="11"/>
  <c r="F16" i="11"/>
  <c r="F16" i="10" s="1"/>
  <c r="F17" i="11"/>
  <c r="F18" i="11"/>
  <c r="F19" i="11"/>
  <c r="F20" i="11"/>
  <c r="F6" i="11" l="1"/>
  <c r="J27" i="11" l="1"/>
  <c r="K27" i="11" s="1"/>
  <c r="B27" i="11"/>
  <c r="C27" i="11" s="1"/>
  <c r="B7" i="11"/>
  <c r="B7" i="10" s="1"/>
  <c r="B9" i="11"/>
  <c r="B10" i="11"/>
  <c r="B11" i="11"/>
  <c r="B12" i="11"/>
  <c r="B13" i="11"/>
  <c r="B14" i="11"/>
  <c r="B15" i="11"/>
  <c r="C15" i="11" s="1"/>
  <c r="B16" i="11"/>
  <c r="B17" i="11"/>
  <c r="B18" i="11"/>
  <c r="B19" i="11"/>
  <c r="B20" i="11"/>
  <c r="C20" i="11" s="1"/>
  <c r="B6" i="11"/>
  <c r="J7" i="11" l="1"/>
  <c r="B27" i="9" l="1"/>
  <c r="C27" i="9" s="1"/>
  <c r="B25" i="11" l="1"/>
  <c r="F27" i="11" l="1"/>
  <c r="J18" i="11"/>
  <c r="J17" i="11"/>
  <c r="G15" i="11"/>
  <c r="J14" i="11"/>
  <c r="J13" i="11"/>
  <c r="J12" i="11"/>
  <c r="J11" i="11"/>
  <c r="J9" i="11"/>
  <c r="J6" i="11"/>
  <c r="J19" i="11" l="1"/>
  <c r="J25" i="11"/>
  <c r="J10" i="11"/>
  <c r="J15" i="11" s="1"/>
  <c r="K15" i="11" s="1"/>
  <c r="B23" i="11"/>
  <c r="C23" i="11" s="1"/>
  <c r="G20" i="11"/>
  <c r="J27" i="9"/>
  <c r="K27" i="9" s="1"/>
  <c r="J20" i="11" l="1"/>
  <c r="K20" i="11" s="1"/>
  <c r="F23" i="11"/>
  <c r="B26" i="11"/>
  <c r="F10" i="9"/>
  <c r="F11" i="9"/>
  <c r="F11" i="10" s="1"/>
  <c r="F12" i="9"/>
  <c r="F13" i="9"/>
  <c r="F14" i="9"/>
  <c r="F14" i="10" s="1"/>
  <c r="F15" i="9"/>
  <c r="F17" i="9"/>
  <c r="F17" i="10" s="1"/>
  <c r="F18" i="9"/>
  <c r="F18" i="10" s="1"/>
  <c r="F19" i="9"/>
  <c r="F19" i="10" s="1"/>
  <c r="F20" i="9"/>
  <c r="F6" i="9"/>
  <c r="J22" i="11" l="1"/>
  <c r="J23" i="11" s="1"/>
  <c r="K23" i="11" s="1"/>
  <c r="C26" i="11"/>
  <c r="F26" i="11"/>
  <c r="G26" i="11" s="1"/>
  <c r="G23" i="11"/>
  <c r="B25" i="9"/>
  <c r="B24" i="10" s="1"/>
  <c r="B9" i="9"/>
  <c r="B9" i="10" s="1"/>
  <c r="B10" i="9"/>
  <c r="B10" i="10" s="1"/>
  <c r="B11" i="9"/>
  <c r="B11" i="10" s="1"/>
  <c r="B12" i="9"/>
  <c r="B12" i="10" s="1"/>
  <c r="B13" i="9"/>
  <c r="B13" i="10" s="1"/>
  <c r="B14" i="9"/>
  <c r="B14" i="10" s="1"/>
  <c r="B15" i="9"/>
  <c r="B15" i="10" s="1"/>
  <c r="B17" i="9"/>
  <c r="B17" i="10" s="1"/>
  <c r="B18" i="9"/>
  <c r="B18" i="10" s="1"/>
  <c r="B19" i="9"/>
  <c r="B19" i="10" s="1"/>
  <c r="B20" i="9"/>
  <c r="B20" i="10" s="1"/>
  <c r="B6" i="9"/>
  <c r="J26" i="11" l="1"/>
  <c r="K26" i="11" s="1"/>
  <c r="C20" i="9"/>
  <c r="C15" i="9"/>
  <c r="F23" i="3"/>
  <c r="F23" i="7"/>
  <c r="F23" i="8"/>
  <c r="F25" i="9"/>
  <c r="F25" i="10" s="1"/>
  <c r="F23" i="6" l="1"/>
  <c r="F23" i="9"/>
  <c r="F26" i="9" l="1"/>
  <c r="B23" i="3"/>
  <c r="J23" i="3"/>
  <c r="B23" i="7"/>
  <c r="J23" i="7" s="1"/>
  <c r="B23" i="8"/>
  <c r="J23" i="8" s="1"/>
  <c r="J25" i="9"/>
  <c r="B23" i="6" l="1"/>
  <c r="J23" i="6" s="1"/>
  <c r="F27" i="9" l="1"/>
  <c r="J18" i="9"/>
  <c r="J17" i="9"/>
  <c r="G15" i="9"/>
  <c r="J14" i="9"/>
  <c r="J13" i="9"/>
  <c r="J12" i="9"/>
  <c r="J11" i="9"/>
  <c r="J9" i="9"/>
  <c r="J6" i="9"/>
  <c r="F27" i="10" l="1"/>
  <c r="F27" i="13"/>
  <c r="J10" i="9"/>
  <c r="J15" i="9" s="1"/>
  <c r="K15" i="9" s="1"/>
  <c r="B23" i="9"/>
  <c r="J19" i="9"/>
  <c r="G20" i="9"/>
  <c r="J25" i="6"/>
  <c r="B22" i="10" l="1"/>
  <c r="C23" i="9"/>
  <c r="J20" i="9"/>
  <c r="G23" i="9"/>
  <c r="G26" i="9"/>
  <c r="B26" i="9"/>
  <c r="B25" i="10" s="1"/>
  <c r="J25" i="10" s="1"/>
  <c r="J20" i="4"/>
  <c r="K25" i="6"/>
  <c r="J25" i="8"/>
  <c r="K25" i="8" s="1"/>
  <c r="F8" i="8"/>
  <c r="F9" i="8"/>
  <c r="F10" i="8"/>
  <c r="F11" i="8"/>
  <c r="F12" i="8"/>
  <c r="F13" i="8"/>
  <c r="F14" i="8"/>
  <c r="F15" i="8"/>
  <c r="F16" i="8"/>
  <c r="F17" i="8"/>
  <c r="F18" i="8"/>
  <c r="F19" i="8"/>
  <c r="F7" i="8"/>
  <c r="K20" i="9" l="1"/>
  <c r="J22" i="9"/>
  <c r="J23" i="9" s="1"/>
  <c r="K23" i="9" s="1"/>
  <c r="C26" i="9"/>
  <c r="B8" i="8"/>
  <c r="B9" i="8"/>
  <c r="B10" i="8"/>
  <c r="B11" i="8"/>
  <c r="B12" i="8"/>
  <c r="B13" i="8"/>
  <c r="B14" i="8"/>
  <c r="C14" i="8" s="1"/>
  <c r="B16" i="8"/>
  <c r="B17" i="8"/>
  <c r="B18" i="8"/>
  <c r="B19" i="8"/>
  <c r="C19" i="8" s="1"/>
  <c r="B25" i="8"/>
  <c r="B7" i="8"/>
  <c r="J26" i="9" l="1"/>
  <c r="K26" i="9" s="1"/>
  <c r="B21" i="8"/>
  <c r="B22" i="8" s="1"/>
  <c r="B24" i="8" l="1"/>
  <c r="C24" i="8" s="1"/>
  <c r="C22" i="8"/>
  <c r="F25" i="8"/>
  <c r="G14" i="8"/>
  <c r="J10" i="8"/>
  <c r="J8" i="8"/>
  <c r="J13" i="8" l="1"/>
  <c r="F21" i="8"/>
  <c r="J16" i="8"/>
  <c r="J11" i="8"/>
  <c r="J12" i="8"/>
  <c r="J17" i="8"/>
  <c r="G19" i="8"/>
  <c r="J7" i="8"/>
  <c r="J9" i="8" s="1"/>
  <c r="B7" i="4"/>
  <c r="B7" i="3"/>
  <c r="J18" i="8" l="1"/>
  <c r="F22" i="8"/>
  <c r="G22" i="8" s="1"/>
  <c r="J21" i="8"/>
  <c r="J14" i="8"/>
  <c r="K14" i="8" s="1"/>
  <c r="F24" i="8" l="1"/>
  <c r="G24" i="8" s="1"/>
  <c r="J19" i="8"/>
  <c r="J25" i="7"/>
  <c r="K25" i="7" s="1"/>
  <c r="F8" i="7"/>
  <c r="F9" i="7"/>
  <c r="F10" i="7"/>
  <c r="F11" i="7"/>
  <c r="F12" i="7"/>
  <c r="F13" i="7"/>
  <c r="F14" i="7"/>
  <c r="F16" i="7"/>
  <c r="F17" i="7"/>
  <c r="F18" i="7"/>
  <c r="F19" i="7"/>
  <c r="F21" i="7"/>
  <c r="F25" i="7"/>
  <c r="F7" i="7"/>
  <c r="K19" i="8" l="1"/>
  <c r="J22" i="8"/>
  <c r="F25" i="6"/>
  <c r="F22" i="7"/>
  <c r="G22" i="7" s="1"/>
  <c r="B8" i="7"/>
  <c r="B9" i="7"/>
  <c r="B10" i="7"/>
  <c r="B11" i="7"/>
  <c r="B12" i="7"/>
  <c r="B13" i="7"/>
  <c r="B14" i="7"/>
  <c r="B16" i="7"/>
  <c r="B17" i="7"/>
  <c r="B18" i="7"/>
  <c r="B19" i="7"/>
  <c r="C19" i="7" l="1"/>
  <c r="C14" i="7"/>
  <c r="F24" i="7"/>
  <c r="G24" i="7" s="1"/>
  <c r="K22" i="8"/>
  <c r="J24" i="8"/>
  <c r="K24" i="8" s="1"/>
  <c r="B7" i="7"/>
  <c r="B7" i="6" s="1"/>
  <c r="G15" i="1" l="1"/>
  <c r="F24" i="1"/>
  <c r="G24" i="1" s="1"/>
  <c r="F23" i="1"/>
  <c r="G19" i="7"/>
  <c r="G14" i="7"/>
  <c r="B25" i="7"/>
  <c r="B25" i="6" l="1"/>
  <c r="J12" i="7"/>
  <c r="B22" i="7"/>
  <c r="C22" i="7" s="1"/>
  <c r="G21" i="1"/>
  <c r="J11" i="7"/>
  <c r="J16" i="7"/>
  <c r="J13" i="7"/>
  <c r="J10" i="7"/>
  <c r="J17" i="7"/>
  <c r="J7" i="7"/>
  <c r="J8" i="7"/>
  <c r="B24" i="7" l="1"/>
  <c r="C24" i="7" s="1"/>
  <c r="J18" i="7"/>
  <c r="J9" i="7"/>
  <c r="J14" i="7" s="1"/>
  <c r="K14" i="7" s="1"/>
  <c r="J19" i="7" l="1"/>
  <c r="K19" i="7" l="1"/>
  <c r="J22" i="7"/>
  <c r="K22" i="7"/>
  <c r="J24" i="7"/>
  <c r="K24" i="7" s="1"/>
  <c r="F8" i="2"/>
  <c r="F10" i="2"/>
  <c r="F11" i="2"/>
  <c r="F15" i="2"/>
  <c r="F17" i="2"/>
  <c r="F7" i="2"/>
  <c r="F12" i="2" l="1"/>
  <c r="F13" i="2"/>
  <c r="F9" i="2"/>
  <c r="F14" i="2" l="1"/>
  <c r="F18" i="2" l="1"/>
  <c r="F16" i="2" l="1"/>
  <c r="F19" i="2" l="1"/>
  <c r="F21" i="2"/>
  <c r="F21" i="4" l="1"/>
  <c r="F16" i="4"/>
  <c r="J20" i="2"/>
  <c r="J25" i="3" l="1"/>
  <c r="K25" i="3" s="1"/>
  <c r="F8" i="3"/>
  <c r="F10" i="3"/>
  <c r="F15" i="3"/>
  <c r="F7" i="3"/>
  <c r="B17" i="3"/>
  <c r="B17" i="6" s="1"/>
  <c r="B10" i="3"/>
  <c r="B10" i="6" s="1"/>
  <c r="J11" i="10" l="1"/>
  <c r="F10" i="6"/>
  <c r="F8" i="6"/>
  <c r="F7" i="6"/>
  <c r="J10" i="6"/>
  <c r="J20" i="5"/>
  <c r="B8" i="5"/>
  <c r="B9" i="5"/>
  <c r="B11" i="5"/>
  <c r="B12" i="5"/>
  <c r="B13" i="5"/>
  <c r="B14" i="5"/>
  <c r="C14" i="5" s="1"/>
  <c r="B16" i="5"/>
  <c r="B18" i="5"/>
  <c r="B19" i="5"/>
  <c r="B21" i="5"/>
  <c r="C21" i="5" s="1"/>
  <c r="B7" i="5"/>
  <c r="J11" i="5" l="1"/>
  <c r="J7" i="5"/>
  <c r="J12" i="5"/>
  <c r="J16" i="5"/>
  <c r="G21" i="5"/>
  <c r="K20" i="5"/>
  <c r="J18" i="5"/>
  <c r="G14" i="5"/>
  <c r="J13" i="5"/>
  <c r="J10" i="5"/>
  <c r="J8" i="5"/>
  <c r="J9" i="5" l="1"/>
  <c r="J14" i="5" s="1"/>
  <c r="K14" i="5" s="1"/>
  <c r="J19" i="5"/>
  <c r="J21" i="5" l="1"/>
  <c r="K21" i="5" s="1"/>
  <c r="B8" i="4" l="1"/>
  <c r="B9" i="4"/>
  <c r="B11" i="4"/>
  <c r="B12" i="4"/>
  <c r="B13" i="4"/>
  <c r="B14" i="4"/>
  <c r="B16" i="4"/>
  <c r="B18" i="4"/>
  <c r="B19" i="4"/>
  <c r="B21" i="4"/>
  <c r="B8" i="2"/>
  <c r="B9" i="2"/>
  <c r="B11" i="2"/>
  <c r="B12" i="2"/>
  <c r="B13" i="2"/>
  <c r="B14" i="2"/>
  <c r="C14" i="2" s="1"/>
  <c r="B16" i="2"/>
  <c r="B18" i="2"/>
  <c r="B19" i="2"/>
  <c r="B21" i="2"/>
  <c r="C21" i="2" s="1"/>
  <c r="B7" i="2"/>
  <c r="J8" i="4" l="1"/>
  <c r="F10" i="4"/>
  <c r="J10" i="4" s="1"/>
  <c r="F7" i="4"/>
  <c r="J7" i="4" s="1"/>
  <c r="K20" i="4"/>
  <c r="C21" i="4"/>
  <c r="J9" i="4" l="1"/>
  <c r="C14" i="4"/>
  <c r="J10" i="3" l="1"/>
  <c r="K20" i="2"/>
  <c r="J18" i="2"/>
  <c r="J13" i="2"/>
  <c r="J12" i="2"/>
  <c r="J11" i="2"/>
  <c r="J10" i="2"/>
  <c r="M11" i="1" s="1"/>
  <c r="J8" i="2"/>
  <c r="J7" i="2"/>
  <c r="J9" i="2" l="1"/>
  <c r="J14" i="2" s="1"/>
  <c r="K14" i="2" s="1"/>
  <c r="J16" i="2"/>
  <c r="J19" i="2" s="1"/>
  <c r="J21" i="2" l="1"/>
  <c r="K21" i="2" s="1"/>
  <c r="J11" i="1" l="1"/>
  <c r="J16" i="4" l="1"/>
  <c r="F13" i="4" l="1"/>
  <c r="J13" i="4" s="1"/>
  <c r="F11" i="4" l="1"/>
  <c r="J11" i="4" s="1"/>
  <c r="F18" i="4"/>
  <c r="J18" i="4" s="1"/>
  <c r="J19" i="4" s="1"/>
  <c r="G14" i="2" l="1"/>
  <c r="F19" i="4" l="1"/>
  <c r="F9" i="4" l="1"/>
  <c r="F12" i="4"/>
  <c r="J12" i="4" s="1"/>
  <c r="J14" i="4" s="1"/>
  <c r="J21" i="4" l="1"/>
  <c r="K21" i="4" s="1"/>
  <c r="K14" i="4"/>
  <c r="F14" i="4"/>
  <c r="G14" i="4" s="1"/>
  <c r="G21" i="4"/>
  <c r="G21" i="2" l="1"/>
  <c r="F13" i="3" l="1"/>
  <c r="F17" i="3"/>
  <c r="F16" i="3"/>
  <c r="F11" i="3"/>
  <c r="F11" i="6" l="1"/>
  <c r="F16" i="6"/>
  <c r="J17" i="10"/>
  <c r="J18" i="10"/>
  <c r="F17" i="6"/>
  <c r="J17" i="6" s="1"/>
  <c r="J14" i="10"/>
  <c r="F13" i="6"/>
  <c r="J17" i="3"/>
  <c r="F9" i="3"/>
  <c r="M19" i="1" l="1"/>
  <c r="J19" i="10"/>
  <c r="F9" i="6"/>
  <c r="F12" i="3"/>
  <c r="F12" i="6" l="1"/>
  <c r="F14" i="3"/>
  <c r="F14" i="6" l="1"/>
  <c r="G14" i="6" s="1"/>
  <c r="G14" i="3"/>
  <c r="F18" i="3"/>
  <c r="F18" i="6" l="1"/>
  <c r="F19" i="3"/>
  <c r="G19" i="3" l="1"/>
  <c r="F19" i="6"/>
  <c r="G19" i="6" s="1"/>
  <c r="F21" i="3"/>
  <c r="F21" i="6" l="1"/>
  <c r="F22" i="3"/>
  <c r="B13" i="3"/>
  <c r="B13" i="6" s="1"/>
  <c r="B11" i="3"/>
  <c r="B11" i="6" s="1"/>
  <c r="B8" i="3"/>
  <c r="B8" i="6" s="1"/>
  <c r="F24" i="3" l="1"/>
  <c r="G24" i="3" s="1"/>
  <c r="F22" i="6"/>
  <c r="J8" i="3"/>
  <c r="J8" i="6"/>
  <c r="J11" i="3"/>
  <c r="J11" i="6"/>
  <c r="J13" i="3"/>
  <c r="J13" i="6"/>
  <c r="M14" i="1" s="1"/>
  <c r="J7" i="3"/>
  <c r="J7" i="6"/>
  <c r="J9" i="3" l="1"/>
  <c r="F24" i="6"/>
  <c r="G24" i="6" s="1"/>
  <c r="G22" i="6"/>
  <c r="J9" i="6"/>
  <c r="B16" i="3"/>
  <c r="B16" i="6" s="1"/>
  <c r="B12" i="3"/>
  <c r="B12" i="6" s="1"/>
  <c r="J12" i="3" l="1"/>
  <c r="J14" i="3" s="1"/>
  <c r="K14" i="3" s="1"/>
  <c r="J12" i="6"/>
  <c r="J16" i="3"/>
  <c r="J18" i="3" s="1"/>
  <c r="J16" i="6"/>
  <c r="M17" i="1" s="1"/>
  <c r="B9" i="3"/>
  <c r="B9" i="6" s="1"/>
  <c r="J19" i="3" l="1"/>
  <c r="J21" i="3" s="1"/>
  <c r="J14" i="6"/>
  <c r="J18" i="6"/>
  <c r="K14" i="6" l="1"/>
  <c r="K19" i="3"/>
  <c r="J22" i="3"/>
  <c r="J19" i="6"/>
  <c r="B14" i="3"/>
  <c r="B14" i="6" s="1"/>
  <c r="C14" i="6" s="1"/>
  <c r="K22" i="3" l="1"/>
  <c r="J24" i="3"/>
  <c r="K24" i="3" s="1"/>
  <c r="K19" i="6"/>
  <c r="C14" i="3"/>
  <c r="B18" i="3"/>
  <c r="B18" i="6" s="1"/>
  <c r="B19" i="3" l="1"/>
  <c r="C19" i="3" l="1"/>
  <c r="B19" i="6"/>
  <c r="C19" i="6" s="1"/>
  <c r="B21" i="3"/>
  <c r="B21" i="6" l="1"/>
  <c r="J21" i="6" s="1"/>
  <c r="B22" i="3"/>
  <c r="J22" i="6" l="1"/>
  <c r="B24" i="3"/>
  <c r="C24" i="3" s="1"/>
  <c r="B22" i="6"/>
  <c r="K22" i="6"/>
  <c r="J24" i="6"/>
  <c r="K24" i="6" s="1"/>
  <c r="B24" i="6" l="1"/>
  <c r="C24" i="6" s="1"/>
  <c r="C22" i="6"/>
  <c r="F12" i="10" l="1"/>
  <c r="F6" i="10"/>
  <c r="F10" i="10"/>
  <c r="F13" i="10" l="1"/>
  <c r="F15" i="10" l="1"/>
  <c r="G15" i="10" s="1"/>
  <c r="G15" i="12"/>
  <c r="F23" i="12" l="1"/>
  <c r="F20" i="10"/>
  <c r="G20" i="10" s="1"/>
  <c r="G20" i="12"/>
  <c r="F23" i="10" l="1"/>
  <c r="G23" i="10" s="1"/>
  <c r="G23" i="12"/>
  <c r="F26" i="12"/>
  <c r="G26" i="12" l="1"/>
  <c r="F26" i="10"/>
  <c r="G26" i="10" s="1"/>
  <c r="J7" i="1" l="1"/>
  <c r="J19" i="1" l="1"/>
  <c r="J14" i="1" l="1"/>
  <c r="J17" i="1" l="1"/>
  <c r="J9" i="1"/>
  <c r="J12" i="1" l="1"/>
  <c r="J13" i="1" l="1"/>
  <c r="J6" i="1" l="1"/>
  <c r="J10" i="1" s="1"/>
  <c r="J15" i="1" s="1"/>
  <c r="K15" i="1" s="1"/>
  <c r="B24" i="1" l="1"/>
  <c r="C24" i="1" s="1"/>
  <c r="J7" i="10" l="1"/>
  <c r="M7" i="1" s="1"/>
  <c r="J7" i="12"/>
  <c r="J12" i="10" l="1"/>
  <c r="M12" i="1" s="1"/>
  <c r="J12" i="12"/>
  <c r="J9" i="10"/>
  <c r="M9" i="1" s="1"/>
  <c r="J9" i="12"/>
  <c r="B6" i="10" l="1"/>
  <c r="J6" i="10" s="1"/>
  <c r="J6" i="12"/>
  <c r="J10" i="12" s="1"/>
  <c r="J10" i="10" l="1"/>
  <c r="M6" i="1"/>
  <c r="J13" i="10"/>
  <c r="M13" i="1" s="1"/>
  <c r="J13" i="12"/>
  <c r="J15" i="12" s="1"/>
  <c r="K15" i="12" s="1"/>
  <c r="J20" i="12" l="1"/>
  <c r="K20" i="12" s="1"/>
  <c r="C15" i="10"/>
  <c r="J15" i="10"/>
  <c r="K15" i="10" s="1"/>
  <c r="M10" i="1"/>
  <c r="C20" i="10" l="1"/>
  <c r="B23" i="12"/>
  <c r="C23" i="12" s="1"/>
  <c r="J22" i="12"/>
  <c r="J22" i="10" s="1"/>
  <c r="J22" i="13" s="1"/>
  <c r="J20" i="10"/>
  <c r="K20" i="10" s="1"/>
  <c r="M15" i="1"/>
  <c r="J23" i="10" l="1"/>
  <c r="K23" i="10" s="1"/>
  <c r="B23" i="10"/>
  <c r="C23" i="10" s="1"/>
  <c r="B26" i="12"/>
  <c r="J23" i="12"/>
  <c r="K23" i="12" s="1"/>
  <c r="M18" i="1"/>
  <c r="M20" i="1" s="1"/>
  <c r="J18" i="1"/>
  <c r="J20" i="1" s="1"/>
  <c r="J21" i="1" s="1"/>
  <c r="K21" i="1" s="1"/>
  <c r="J24" i="1" l="1"/>
  <c r="K24" i="1" s="1"/>
  <c r="J26" i="12"/>
  <c r="K26" i="12" s="1"/>
  <c r="J26" i="10"/>
  <c r="K26" i="10" s="1"/>
  <c r="M21" i="1"/>
  <c r="C26" i="12"/>
  <c r="B26" i="10"/>
  <c r="C26" i="10" s="1"/>
  <c r="J14" i="13" l="1"/>
  <c r="J12" i="13"/>
  <c r="J13" i="13" l="1"/>
  <c r="F6" i="13"/>
  <c r="J6" i="13" s="1"/>
  <c r="J10" i="13" s="1"/>
  <c r="J15" i="13" l="1"/>
  <c r="G15" i="13" l="1"/>
  <c r="K15" i="13"/>
  <c r="J17" i="13" l="1"/>
  <c r="J19" i="13" s="1"/>
  <c r="J20" i="13" s="1"/>
  <c r="K20" i="13" l="1"/>
  <c r="J23" i="13"/>
  <c r="G20" i="13"/>
  <c r="K23" i="13" l="1"/>
  <c r="J26" i="13"/>
  <c r="K26" i="13" s="1"/>
</calcChain>
</file>

<file path=xl/sharedStrings.xml><?xml version="1.0" encoding="utf-8"?>
<sst xmlns="http://schemas.openxmlformats.org/spreadsheetml/2006/main" count="822" uniqueCount="45">
  <si>
    <t>INCOME</t>
  </si>
  <si>
    <t>Projected (Stock)</t>
  </si>
  <si>
    <t xml:space="preserve">Projected  (Mutual Funds) </t>
  </si>
  <si>
    <t>Total Projected</t>
  </si>
  <si>
    <t>Booked (Stock)</t>
  </si>
  <si>
    <t>Booked Total</t>
  </si>
  <si>
    <t>Dividends</t>
  </si>
  <si>
    <t>Gross Profit</t>
  </si>
  <si>
    <t>EXPENSES</t>
  </si>
  <si>
    <t>Commission + Tax</t>
  </si>
  <si>
    <t>Operating Expenses</t>
  </si>
  <si>
    <t>Total Expenses</t>
  </si>
  <si>
    <t>Foreign Exchange</t>
  </si>
  <si>
    <t>NET PROFIT</t>
  </si>
  <si>
    <t>Total Booked</t>
  </si>
  <si>
    <t>Total Dividends</t>
  </si>
  <si>
    <t>India</t>
  </si>
  <si>
    <t>US</t>
  </si>
  <si>
    <t>Consolidated</t>
  </si>
  <si>
    <t>TOAL NET PROFIT</t>
  </si>
  <si>
    <t>Booked (Intraday)</t>
  </si>
  <si>
    <t>Salary</t>
  </si>
  <si>
    <t>Profit &amp; Loss Statement from 1st April to 30th June 2017 - Q2
 (All Prices in AED)</t>
  </si>
  <si>
    <t>Profit &amp; Loss Statement from 1st January to 31st March 2017 - Q1
 (All Prices in AED)</t>
  </si>
  <si>
    <t>Profit &amp; Loss Statement from 26th July 2016 to 31st December 2016
 (All Prices in AED)</t>
  </si>
  <si>
    <t>Salary (Sept'16 - Dec'17)</t>
  </si>
  <si>
    <t>Profit &amp; Loss Statement from 1st July to 31st July 2017
 (All Prices in AED)</t>
  </si>
  <si>
    <t>TOAL OPERATING PROFIT</t>
  </si>
  <si>
    <t>Compensation (25% of OP)</t>
  </si>
  <si>
    <t>Profit &amp; Loss Statement from 1st July to 30th September 2017 - Q3
 (All Prices in AED)</t>
  </si>
  <si>
    <t>TOTAL OPERATING PROFIT</t>
  </si>
  <si>
    <t>Profit &amp; Loss Statement from 1st August to 31st August 2017
 (All Prices in AED)</t>
  </si>
  <si>
    <t>Profit &amp; Loss Statement from 1st September to 30th September 2017
 (All Prices in AED)</t>
  </si>
  <si>
    <t>BUDGET</t>
  </si>
  <si>
    <t>VARIANCE</t>
  </si>
  <si>
    <t>Profit &amp; Loss Statement from 1st October to 31st December 2017 - Q4
 (All Prices in AED)</t>
  </si>
  <si>
    <t>Compensation (30% of OP)</t>
  </si>
  <si>
    <t>Projected (Pharma Sector)</t>
  </si>
  <si>
    <t>Profit &amp; Loss Statement from 1st November to 30th November 2017
 (All Prices in AED)</t>
  </si>
  <si>
    <t>Profit &amp; Loss Statement from 1st October to 31st October 2017
 (All Prices in AED)</t>
  </si>
  <si>
    <t>Projected (Energy Sector)</t>
  </si>
  <si>
    <t>Profit &amp; Loss Statement from 1st December to 31st December 2017
 (All Prices in AED)</t>
  </si>
  <si>
    <t>Profit &amp; Loss Statement from 26th July 2016 to 31st December 2017
 (All Prices in AED)</t>
  </si>
  <si>
    <t>Profit &amp; Loss Statement from 1st January to 31st December 2017
 (All Prices in AED)</t>
  </si>
  <si>
    <t>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</si>
</sst>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sz val="1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/>
    <xf numFmtId="43" fontId="0" fillId="0" borderId="0" xfId="1" applyFont="1"/>
    <xf numFmtId="0" fontId="2" fillId="2" borderId="3" xfId="0" applyFont="1" applyFill="1" applyBorder="1"/>
    <xf numFmtId="0" fontId="2" fillId="3" borderId="3" xfId="0" applyFont="1" applyFill="1" applyBorder="1"/>
    <xf numFmtId="10" fontId="4" fillId="0" borderId="0" xfId="2" applyNumberFormat="1" applyFont="1"/>
    <xf numFmtId="43" fontId="0" fillId="0" borderId="0" xfId="0" applyNumberFormat="1"/>
    <xf numFmtId="0" fontId="2" fillId="0" borderId="3" xfId="0" applyFont="1" applyBorder="1" applyAlignment="1">
      <alignment horizontal="center"/>
    </xf>
    <xf numFmtId="0" fontId="2" fillId="3" borderId="7" xfId="0" applyFont="1" applyFill="1" applyBorder="1"/>
    <xf numFmtId="0" fontId="3" fillId="2" borderId="3" xfId="0" applyFont="1" applyFill="1" applyBorder="1"/>
    <xf numFmtId="0" fontId="3" fillId="3" borderId="3" xfId="0" applyFont="1" applyFill="1" applyBorder="1"/>
    <xf numFmtId="0" fontId="3" fillId="0" borderId="3" xfId="0" applyFont="1" applyBorder="1" applyAlignment="1">
      <alignment horizontal="center"/>
    </xf>
    <xf numFmtId="0" fontId="7" fillId="0" borderId="3" xfId="0" applyFont="1" applyBorder="1"/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7" fillId="0" borderId="0" xfId="0" applyFont="1"/>
    <xf numFmtId="10" fontId="9" fillId="0" borderId="0" xfId="2" applyNumberFormat="1" applyFont="1"/>
    <xf numFmtId="0" fontId="2" fillId="3" borderId="5" xfId="0" applyFont="1" applyFill="1" applyBorder="1"/>
    <xf numFmtId="10" fontId="6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38" fontId="2" fillId="0" borderId="4" xfId="0" applyNumberFormat="1" applyFont="1" applyBorder="1"/>
    <xf numFmtId="38" fontId="2" fillId="2" borderId="4" xfId="0" applyNumberFormat="1" applyFont="1" applyFill="1" applyBorder="1"/>
    <xf numFmtId="38" fontId="2" fillId="3" borderId="4" xfId="0" applyNumberFormat="1" applyFont="1" applyFill="1" applyBorder="1"/>
    <xf numFmtId="38" fontId="2" fillId="3" borderId="6" xfId="0" applyNumberFormat="1" applyFont="1" applyFill="1" applyBorder="1"/>
    <xf numFmtId="38" fontId="2" fillId="3" borderId="8" xfId="0" applyNumberFormat="1" applyFont="1" applyFill="1" applyBorder="1"/>
    <xf numFmtId="38" fontId="3" fillId="0" borderId="4" xfId="0" applyNumberFormat="1" applyFont="1" applyBorder="1" applyAlignment="1">
      <alignment horizontal="right"/>
    </xf>
    <xf numFmtId="38" fontId="3" fillId="2" borderId="4" xfId="0" applyNumberFormat="1" applyFont="1" applyFill="1" applyBorder="1" applyAlignment="1">
      <alignment horizontal="right"/>
    </xf>
    <xf numFmtId="38" fontId="3" fillId="3" borderId="4" xfId="0" applyNumberFormat="1" applyFont="1" applyFill="1" applyBorder="1" applyAlignment="1">
      <alignment horizontal="right"/>
    </xf>
    <xf numFmtId="38" fontId="3" fillId="3" borderId="8" xfId="0" applyNumberFormat="1" applyFont="1" applyFill="1" applyBorder="1" applyAlignment="1">
      <alignment horizontal="right"/>
    </xf>
    <xf numFmtId="10" fontId="10" fillId="0" borderId="0" xfId="2" applyNumberFormat="1" applyFont="1"/>
    <xf numFmtId="10" fontId="6" fillId="0" borderId="0" xfId="2" applyNumberFormat="1" applyFont="1"/>
    <xf numFmtId="0" fontId="11" fillId="0" borderId="0" xfId="0" applyFont="1"/>
    <xf numFmtId="10" fontId="4" fillId="0" borderId="0" xfId="2" applyNumberFormat="1" applyFont="1" applyAlignment="1">
      <alignment horizontal="center"/>
    </xf>
    <xf numFmtId="0" fontId="13" fillId="0" borderId="0" xfId="0" applyFont="1"/>
    <xf numFmtId="0" fontId="12" fillId="0" borderId="0" xfId="0" applyFont="1"/>
    <xf numFmtId="0" fontId="3" fillId="3" borderId="5" xfId="0" applyFont="1" applyFill="1" applyBorder="1"/>
    <xf numFmtId="38" fontId="3" fillId="3" borderId="6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8" fillId="0" borderId="3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5" fillId="0" borderId="3" xfId="0" applyFont="1" applyBorder="1"/>
    <xf numFmtId="38" fontId="18" fillId="0" borderId="4" xfId="0" applyNumberFormat="1" applyFont="1" applyBorder="1"/>
    <xf numFmtId="0" fontId="19" fillId="0" borderId="3" xfId="0" applyFont="1" applyBorder="1"/>
    <xf numFmtId="38" fontId="20" fillId="0" borderId="4" xfId="0" applyNumberFormat="1" applyFont="1" applyBorder="1" applyAlignment="1">
      <alignment horizontal="right"/>
    </xf>
    <xf numFmtId="0" fontId="18" fillId="2" borderId="3" xfId="0" applyFont="1" applyFill="1" applyBorder="1"/>
    <xf numFmtId="38" fontId="18" fillId="2" borderId="4" xfId="0" applyNumberFormat="1" applyFont="1" applyFill="1" applyBorder="1"/>
    <xf numFmtId="0" fontId="20" fillId="2" borderId="3" xfId="0" applyFont="1" applyFill="1" applyBorder="1"/>
    <xf numFmtId="38" fontId="20" fillId="2" borderId="4" xfId="0" applyNumberFormat="1" applyFont="1" applyFill="1" applyBorder="1" applyAlignment="1">
      <alignment horizontal="right"/>
    </xf>
    <xf numFmtId="0" fontId="19" fillId="0" borderId="0" xfId="0" applyFont="1"/>
    <xf numFmtId="0" fontId="21" fillId="0" borderId="0" xfId="0" applyFont="1"/>
    <xf numFmtId="0" fontId="22" fillId="0" borderId="0" xfId="0" applyFont="1"/>
    <xf numFmtId="0" fontId="18" fillId="3" borderId="3" xfId="0" applyFont="1" applyFill="1" applyBorder="1"/>
    <xf numFmtId="38" fontId="18" fillId="3" borderId="4" xfId="0" applyNumberFormat="1" applyFont="1" applyFill="1" applyBorder="1"/>
    <xf numFmtId="10" fontId="23" fillId="0" borderId="0" xfId="2" applyNumberFormat="1" applyFont="1" applyAlignment="1">
      <alignment horizontal="center"/>
    </xf>
    <xf numFmtId="10" fontId="23" fillId="0" borderId="0" xfId="2" applyNumberFormat="1" applyFont="1"/>
    <xf numFmtId="0" fontId="20" fillId="3" borderId="3" xfId="0" applyFont="1" applyFill="1" applyBorder="1"/>
    <xf numFmtId="38" fontId="20" fillId="3" borderId="4" xfId="0" applyNumberFormat="1" applyFont="1" applyFill="1" applyBorder="1" applyAlignment="1">
      <alignment horizontal="right"/>
    </xf>
    <xf numFmtId="10" fontId="24" fillId="0" borderId="0" xfId="2" applyNumberFormat="1" applyFont="1"/>
    <xf numFmtId="0" fontId="18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18" fillId="3" borderId="5" xfId="0" applyFont="1" applyFill="1" applyBorder="1"/>
    <xf numFmtId="38" fontId="20" fillId="3" borderId="6" xfId="0" applyNumberFormat="1" applyFont="1" applyFill="1" applyBorder="1" applyAlignment="1">
      <alignment horizontal="right"/>
    </xf>
    <xf numFmtId="0" fontId="20" fillId="3" borderId="5" xfId="0" applyFont="1" applyFill="1" applyBorder="1"/>
    <xf numFmtId="10" fontId="25" fillId="0" borderId="0" xfId="2" applyNumberFormat="1" applyFont="1" applyAlignment="1">
      <alignment horizontal="center"/>
    </xf>
    <xf numFmtId="10" fontId="25" fillId="0" borderId="0" xfId="2" applyNumberFormat="1" applyFont="1"/>
    <xf numFmtId="10" fontId="26" fillId="0" borderId="0" xfId="2" applyNumberFormat="1" applyFont="1"/>
    <xf numFmtId="0" fontId="20" fillId="3" borderId="3" xfId="0" applyFont="1" applyFill="1" applyBorder="1" applyAlignment="1">
      <alignment horizontal="left" vertical="center" wrapText="1"/>
    </xf>
    <xf numFmtId="0" fontId="18" fillId="3" borderId="7" xfId="0" applyFont="1" applyFill="1" applyBorder="1"/>
    <xf numFmtId="38" fontId="18" fillId="3" borderId="8" xfId="0" applyNumberFormat="1" applyFont="1" applyFill="1" applyBorder="1"/>
    <xf numFmtId="0" fontId="20" fillId="3" borderId="7" xfId="0" applyFont="1" applyFill="1" applyBorder="1"/>
    <xf numFmtId="38" fontId="20" fillId="3" borderId="8" xfId="0" applyNumberFormat="1" applyFont="1" applyFill="1" applyBorder="1" applyAlignment="1">
      <alignment horizontal="right"/>
    </xf>
    <xf numFmtId="0" fontId="27" fillId="0" borderId="0" xfId="0" applyFont="1"/>
    <xf numFmtId="0" fontId="31" fillId="0" borderId="3" xfId="0" applyFont="1" applyBorder="1" applyAlignment="1">
      <alignment horizontal="center" wrapText="1"/>
    </xf>
    <xf numFmtId="0" fontId="27" fillId="0" borderId="4" xfId="0" applyFont="1" applyBorder="1" applyAlignment="1">
      <alignment horizontal="center" wrapText="1"/>
    </xf>
    <xf numFmtId="0" fontId="27" fillId="0" borderId="3" xfId="0" applyFont="1" applyBorder="1"/>
    <xf numFmtId="38" fontId="31" fillId="0" borderId="4" xfId="0" applyNumberFormat="1" applyFont="1" applyBorder="1"/>
    <xf numFmtId="0" fontId="32" fillId="0" borderId="3" xfId="0" applyFont="1" applyBorder="1"/>
    <xf numFmtId="38" fontId="30" fillId="0" borderId="4" xfId="0" applyNumberFormat="1" applyFont="1" applyBorder="1" applyAlignment="1">
      <alignment horizontal="right"/>
    </xf>
    <xf numFmtId="38" fontId="27" fillId="0" borderId="0" xfId="0" applyNumberFormat="1" applyFont="1"/>
    <xf numFmtId="0" fontId="31" fillId="2" borderId="3" xfId="0" applyFont="1" applyFill="1" applyBorder="1"/>
    <xf numFmtId="38" fontId="31" fillId="2" borderId="4" xfId="0" applyNumberFormat="1" applyFont="1" applyFill="1" applyBorder="1"/>
    <xf numFmtId="0" fontId="30" fillId="2" borderId="3" xfId="0" applyFont="1" applyFill="1" applyBorder="1"/>
    <xf numFmtId="38" fontId="30" fillId="2" borderId="4" xfId="0" applyNumberFormat="1" applyFont="1" applyFill="1" applyBorder="1" applyAlignment="1">
      <alignment horizontal="right"/>
    </xf>
    <xf numFmtId="0" fontId="32" fillId="0" borderId="0" xfId="0" applyFont="1"/>
    <xf numFmtId="0" fontId="31" fillId="3" borderId="3" xfId="0" applyFont="1" applyFill="1" applyBorder="1"/>
    <xf numFmtId="38" fontId="31" fillId="3" borderId="4" xfId="0" applyNumberFormat="1" applyFont="1" applyFill="1" applyBorder="1"/>
    <xf numFmtId="10" fontId="33" fillId="0" borderId="0" xfId="2" applyNumberFormat="1" applyFont="1" applyAlignment="1">
      <alignment horizontal="center"/>
    </xf>
    <xf numFmtId="10" fontId="34" fillId="0" borderId="0" xfId="2" applyNumberFormat="1" applyFont="1"/>
    <xf numFmtId="0" fontId="30" fillId="3" borderId="3" xfId="0" applyFont="1" applyFill="1" applyBorder="1"/>
    <xf numFmtId="38" fontId="30" fillId="3" borderId="4" xfId="0" applyNumberFormat="1" applyFont="1" applyFill="1" applyBorder="1" applyAlignment="1">
      <alignment horizontal="right"/>
    </xf>
    <xf numFmtId="10" fontId="35" fillId="0" borderId="0" xfId="2" applyNumberFormat="1" applyFont="1"/>
    <xf numFmtId="0" fontId="31" fillId="0" borderId="3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30" fillId="0" borderId="3" xfId="0" applyFont="1" applyBorder="1" applyAlignment="1">
      <alignment horizontal="center"/>
    </xf>
    <xf numFmtId="10" fontId="36" fillId="0" borderId="0" xfId="2" applyNumberFormat="1" applyFont="1"/>
    <xf numFmtId="0" fontId="31" fillId="3" borderId="5" xfId="0" applyFont="1" applyFill="1" applyBorder="1"/>
    <xf numFmtId="38" fontId="31" fillId="3" borderId="6" xfId="0" applyNumberFormat="1" applyFont="1" applyFill="1" applyBorder="1"/>
    <xf numFmtId="0" fontId="30" fillId="3" borderId="5" xfId="0" applyFont="1" applyFill="1" applyBorder="1"/>
    <xf numFmtId="38" fontId="30" fillId="3" borderId="6" xfId="0" applyNumberFormat="1" applyFont="1" applyFill="1" applyBorder="1" applyAlignment="1">
      <alignment horizontal="right"/>
    </xf>
    <xf numFmtId="0" fontId="30" fillId="3" borderId="3" xfId="0" applyFont="1" applyFill="1" applyBorder="1" applyAlignment="1">
      <alignment horizontal="left" vertical="center" wrapText="1"/>
    </xf>
    <xf numFmtId="0" fontId="31" fillId="3" borderId="7" xfId="0" applyFont="1" applyFill="1" applyBorder="1"/>
    <xf numFmtId="38" fontId="31" fillId="3" borderId="8" xfId="0" applyNumberFormat="1" applyFont="1" applyFill="1" applyBorder="1"/>
    <xf numFmtId="0" fontId="30" fillId="3" borderId="7" xfId="0" applyFont="1" applyFill="1" applyBorder="1"/>
    <xf numFmtId="38" fontId="30" fillId="3" borderId="8" xfId="0" applyNumberFormat="1" applyFont="1" applyFill="1" applyBorder="1" applyAlignment="1">
      <alignment horizontal="right"/>
    </xf>
    <xf numFmtId="0" fontId="2" fillId="3" borderId="1" xfId="0" applyFont="1" applyFill="1" applyBorder="1"/>
    <xf numFmtId="38" fontId="2" fillId="3" borderId="2" xfId="0" applyNumberFormat="1" applyFont="1" applyFill="1" applyBorder="1"/>
    <xf numFmtId="10" fontId="33" fillId="0" borderId="0" xfId="2" applyNumberFormat="1" applyFont="1"/>
    <xf numFmtId="0" fontId="37" fillId="0" borderId="0" xfId="0" applyFont="1"/>
    <xf numFmtId="0" fontId="40" fillId="0" borderId="3" xfId="0" applyFont="1" applyBorder="1" applyAlignment="1">
      <alignment horizontal="center" wrapText="1"/>
    </xf>
    <xf numFmtId="0" fontId="37" fillId="0" borderId="4" xfId="0" applyFont="1" applyBorder="1" applyAlignment="1">
      <alignment horizontal="center" wrapText="1"/>
    </xf>
    <xf numFmtId="0" fontId="37" fillId="0" borderId="3" xfId="0" applyFont="1" applyBorder="1"/>
    <xf numFmtId="38" fontId="40" fillId="0" borderId="4" xfId="0" applyNumberFormat="1" applyFont="1" applyBorder="1"/>
    <xf numFmtId="0" fontId="41" fillId="0" borderId="3" xfId="0" applyFont="1" applyBorder="1"/>
    <xf numFmtId="38" fontId="42" fillId="0" borderId="4" xfId="0" applyNumberFormat="1" applyFont="1" applyBorder="1" applyAlignment="1">
      <alignment horizontal="right"/>
    </xf>
    <xf numFmtId="0" fontId="40" fillId="2" borderId="3" xfId="0" applyFont="1" applyFill="1" applyBorder="1"/>
    <xf numFmtId="38" fontId="40" fillId="2" borderId="4" xfId="0" applyNumberFormat="1" applyFont="1" applyFill="1" applyBorder="1"/>
    <xf numFmtId="0" fontId="42" fillId="2" borderId="3" xfId="0" applyFont="1" applyFill="1" applyBorder="1"/>
    <xf numFmtId="38" fontId="42" fillId="2" borderId="4" xfId="0" applyNumberFormat="1" applyFont="1" applyFill="1" applyBorder="1" applyAlignment="1">
      <alignment horizontal="right"/>
    </xf>
    <xf numFmtId="0" fontId="41" fillId="0" borderId="0" xfId="0" applyFont="1"/>
    <xf numFmtId="0" fontId="43" fillId="0" borderId="0" xfId="0" applyFont="1"/>
    <xf numFmtId="0" fontId="44" fillId="0" borderId="0" xfId="0" applyFont="1"/>
    <xf numFmtId="0" fontId="40" fillId="3" borderId="3" xfId="0" applyFont="1" applyFill="1" applyBorder="1"/>
    <xf numFmtId="38" fontId="40" fillId="3" borderId="4" xfId="0" applyNumberFormat="1" applyFont="1" applyFill="1" applyBorder="1"/>
    <xf numFmtId="10" fontId="45" fillId="0" borderId="0" xfId="2" applyNumberFormat="1" applyFont="1" applyAlignment="1">
      <alignment horizontal="center"/>
    </xf>
    <xf numFmtId="10" fontId="45" fillId="0" borderId="0" xfId="2" applyNumberFormat="1" applyFont="1"/>
    <xf numFmtId="0" fontId="42" fillId="3" borderId="3" xfId="0" applyFont="1" applyFill="1" applyBorder="1"/>
    <xf numFmtId="38" fontId="42" fillId="3" borderId="4" xfId="0" applyNumberFormat="1" applyFont="1" applyFill="1" applyBorder="1" applyAlignment="1">
      <alignment horizontal="right"/>
    </xf>
    <xf numFmtId="10" fontId="46" fillId="0" borderId="0" xfId="2" applyNumberFormat="1" applyFont="1"/>
    <xf numFmtId="0" fontId="40" fillId="0" borderId="3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2" fillId="0" borderId="3" xfId="0" applyFont="1" applyBorder="1" applyAlignment="1">
      <alignment horizontal="center"/>
    </xf>
    <xf numFmtId="0" fontId="40" fillId="3" borderId="5" xfId="0" applyFont="1" applyFill="1" applyBorder="1"/>
    <xf numFmtId="38" fontId="42" fillId="3" borderId="6" xfId="0" applyNumberFormat="1" applyFont="1" applyFill="1" applyBorder="1" applyAlignment="1">
      <alignment horizontal="right"/>
    </xf>
    <xf numFmtId="0" fontId="42" fillId="3" borderId="5" xfId="0" applyFont="1" applyFill="1" applyBorder="1"/>
    <xf numFmtId="10" fontId="47" fillId="0" borderId="0" xfId="2" applyNumberFormat="1" applyFont="1" applyAlignment="1">
      <alignment horizontal="center"/>
    </xf>
    <xf numFmtId="10" fontId="47" fillId="0" borderId="0" xfId="2" applyNumberFormat="1" applyFont="1"/>
    <xf numFmtId="10" fontId="48" fillId="0" borderId="0" xfId="2" applyNumberFormat="1" applyFont="1"/>
    <xf numFmtId="0" fontId="40" fillId="3" borderId="7" xfId="0" applyFont="1" applyFill="1" applyBorder="1"/>
    <xf numFmtId="38" fontId="40" fillId="3" borderId="8" xfId="0" applyNumberFormat="1" applyFont="1" applyFill="1" applyBorder="1"/>
    <xf numFmtId="0" fontId="42" fillId="3" borderId="7" xfId="0" applyFont="1" applyFill="1" applyBorder="1"/>
    <xf numFmtId="38" fontId="42" fillId="3" borderId="8" xfId="0" applyNumberFormat="1" applyFont="1" applyFill="1" applyBorder="1" applyAlignment="1">
      <alignment horizontal="right"/>
    </xf>
    <xf numFmtId="0" fontId="40" fillId="3" borderId="1" xfId="0" applyFont="1" applyFill="1" applyBorder="1"/>
    <xf numFmtId="38" fontId="40" fillId="3" borderId="2" xfId="0" applyNumberFormat="1" applyFont="1" applyFill="1" applyBorder="1"/>
    <xf numFmtId="0" fontId="42" fillId="3" borderId="1" xfId="0" applyFont="1" applyFill="1" applyBorder="1"/>
    <xf numFmtId="38" fontId="42" fillId="3" borderId="2" xfId="0" applyNumberFormat="1" applyFont="1" applyFill="1" applyBorder="1"/>
    <xf numFmtId="38" fontId="42" fillId="3" borderId="8" xfId="0" applyNumberFormat="1" applyFont="1" applyFill="1" applyBorder="1"/>
    <xf numFmtId="0" fontId="42" fillId="3" borderId="3" xfId="0" applyFont="1" applyFill="1" applyBorder="1" applyAlignment="1">
      <alignment horizontal="left" vertical="center" wrapText="1"/>
    </xf>
    <xf numFmtId="38" fontId="37" fillId="0" borderId="0" xfId="0" applyNumberFormat="1" applyFont="1"/>
    <xf numFmtId="10" fontId="2" fillId="0" borderId="0" xfId="2" applyNumberFormat="1" applyFont="1"/>
    <xf numFmtId="10" fontId="3" fillId="0" borderId="0" xfId="2" applyNumberFormat="1" applyFont="1"/>
    <xf numFmtId="0" fontId="40" fillId="3" borderId="11" xfId="0" applyFont="1" applyFill="1" applyBorder="1"/>
    <xf numFmtId="38" fontId="40" fillId="3" borderId="12" xfId="0" applyNumberFormat="1" applyFont="1" applyFill="1" applyBorder="1"/>
    <xf numFmtId="0" fontId="42" fillId="3" borderId="11" xfId="0" applyFont="1" applyFill="1" applyBorder="1"/>
    <xf numFmtId="38" fontId="42" fillId="3" borderId="12" xfId="0" applyNumberFormat="1" applyFont="1" applyFill="1" applyBorder="1" applyAlignment="1">
      <alignment horizontal="right"/>
    </xf>
    <xf numFmtId="0" fontId="2" fillId="3" borderId="11" xfId="0" applyFont="1" applyFill="1" applyBorder="1"/>
    <xf numFmtId="38" fontId="2" fillId="3" borderId="12" xfId="0" applyNumberFormat="1" applyFont="1" applyFill="1" applyBorder="1"/>
    <xf numFmtId="0" fontId="3" fillId="3" borderId="11" xfId="0" applyFont="1" applyFill="1" applyBorder="1"/>
    <xf numFmtId="38" fontId="3" fillId="3" borderId="12" xfId="0" applyNumberFormat="1" applyFont="1" applyFill="1" applyBorder="1" applyAlignment="1">
      <alignment horizontal="right"/>
    </xf>
    <xf numFmtId="0" fontId="38" fillId="0" borderId="9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12-31%20Financials%20Indi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esktop/2017-10-15%20Financial%20(US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09-30%20Financials%20Indi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09-30%20Financial%20(US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08-15%20Financials%20Indi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08-31%20Financials%20Indi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08-31%20Financial%20(US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esktop/Reports/Financials/India/Financials%20-%20End%20Apr'17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07-31%20Financials%20Indi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07-31%20Financial%20(US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07-15%20Financials%20Ind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12-31%20Financial%20(US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07-15%20Financial%20(US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08-15%20Financial%20(US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11-30%20Financials%20Indi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11-30%20Financial%20(US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7-11-15%20Financials%20Indi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ube/Desktop/2017-10-31%20Financials%20Indi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ube/Desktop/2017-10-31%20Financial%20(US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esktop/2017-10-15%20Financials%20In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Pharma Sector"/>
      <sheetName val="Energy Sector"/>
      <sheetName val="Invested Stocks"/>
      <sheetName val="Sold Stocks"/>
      <sheetName val="Mutual Fund"/>
      <sheetName val="Dividends"/>
      <sheetName val="P&amp;L Monthly"/>
      <sheetName val="P&amp;L Quarter"/>
      <sheetName val="P&amp;L Yearly"/>
      <sheetName val="P&amp;L Consolidated"/>
      <sheetName val="Bank Statement"/>
      <sheetName val="Account Reconci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776.72749999999951</v>
          </cell>
        </row>
        <row r="5">
          <cell r="B5">
            <v>476.12959999999964</v>
          </cell>
        </row>
        <row r="6">
          <cell r="B6">
            <v>-43.143099999999919</v>
          </cell>
        </row>
        <row r="7">
          <cell r="B7">
            <v>89.690788672199943</v>
          </cell>
        </row>
        <row r="8">
          <cell r="B8">
            <v>1299.4047886721989</v>
          </cell>
        </row>
        <row r="9">
          <cell r="B9"/>
        </row>
        <row r="10">
          <cell r="B10">
            <v>468.65104999999983</v>
          </cell>
        </row>
        <row r="11">
          <cell r="B11">
            <v>468.65104999999983</v>
          </cell>
        </row>
        <row r="12">
          <cell r="B12">
            <v>3.6629999999999998</v>
          </cell>
        </row>
        <row r="13">
          <cell r="B13">
            <v>1771.7188386721987</v>
          </cell>
        </row>
        <row r="14">
          <cell r="B14"/>
        </row>
        <row r="15">
          <cell r="B15">
            <v>-101.45926819999981</v>
          </cell>
        </row>
        <row r="16">
          <cell r="B16">
            <v>0</v>
          </cell>
        </row>
        <row r="17">
          <cell r="B17">
            <v>-101.45926819999981</v>
          </cell>
        </row>
        <row r="18">
          <cell r="B18">
            <v>1670.2595704721989</v>
          </cell>
        </row>
        <row r="19">
          <cell r="B19">
            <v>300</v>
          </cell>
        </row>
      </sheetData>
      <sheetData sheetId="9"/>
      <sheetData sheetId="10">
        <row r="4">
          <cell r="B4">
            <v>2167.7702968999997</v>
          </cell>
        </row>
        <row r="5">
          <cell r="B5">
            <v>697.19229999999982</v>
          </cell>
        </row>
        <row r="6">
          <cell r="B6">
            <v>-43.143099999999919</v>
          </cell>
        </row>
        <row r="7">
          <cell r="B7">
            <v>74.894199441599767</v>
          </cell>
        </row>
        <row r="8">
          <cell r="B8">
            <v>2896.7136963415992</v>
          </cell>
        </row>
        <row r="9">
          <cell r="B9">
            <v>0</v>
          </cell>
        </row>
        <row r="10">
          <cell r="B10">
            <v>3682.8774030999998</v>
          </cell>
        </row>
        <row r="11">
          <cell r="B11">
            <v>3682.8774030999998</v>
          </cell>
        </row>
        <row r="12">
          <cell r="B12">
            <v>254.11253000000002</v>
          </cell>
        </row>
        <row r="13">
          <cell r="B13">
            <v>6833.7036294415984</v>
          </cell>
        </row>
        <row r="15">
          <cell r="B15">
            <v>-1363.5388030999991</v>
          </cell>
        </row>
        <row r="16">
          <cell r="B16">
            <v>-135.25</v>
          </cell>
        </row>
        <row r="17">
          <cell r="B17">
            <v>-1498.7888030999991</v>
          </cell>
        </row>
        <row r="18">
          <cell r="B18">
            <v>5334.9148263415991</v>
          </cell>
        </row>
        <row r="19">
          <cell r="B19">
            <v>2745</v>
          </cell>
        </row>
        <row r="20">
          <cell r="B20">
            <v>2589.9148263415991</v>
          </cell>
        </row>
      </sheetData>
      <sheetData sheetId="11">
        <row r="4">
          <cell r="B4">
            <v>1672.6945968999999</v>
          </cell>
        </row>
        <row r="5">
          <cell r="B5">
            <v>697.19229999999982</v>
          </cell>
        </row>
        <row r="6">
          <cell r="B6">
            <v>-43.143099999999919</v>
          </cell>
        </row>
        <row r="7">
          <cell r="B7">
            <v>-199.50761357560043</v>
          </cell>
        </row>
        <row r="8">
          <cell r="B8">
            <v>2127.2361833243995</v>
          </cell>
        </row>
        <row r="9">
          <cell r="B9"/>
        </row>
        <row r="10">
          <cell r="B10">
            <v>3619.5220245999994</v>
          </cell>
        </row>
        <row r="11">
          <cell r="B11">
            <v>3619.5220245999994</v>
          </cell>
        </row>
        <row r="12">
          <cell r="B12">
            <v>282.28358000000003</v>
          </cell>
        </row>
        <row r="13">
          <cell r="B13">
            <v>6029.0417879243987</v>
          </cell>
        </row>
        <row r="14">
          <cell r="B14"/>
        </row>
        <row r="15">
          <cell r="B15">
            <v>-1566.2073401999994</v>
          </cell>
        </row>
        <row r="16">
          <cell r="B16"/>
        </row>
        <row r="17">
          <cell r="B17">
            <v>-135.25</v>
          </cell>
        </row>
        <row r="18">
          <cell r="B18">
            <v>-1701.4573401999994</v>
          </cell>
        </row>
        <row r="19">
          <cell r="B19">
            <v>4327.5844477243991</v>
          </cell>
        </row>
      </sheetData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 Report"/>
      <sheetName val="Sold Stocks"/>
      <sheetName val="Dividends"/>
      <sheetName val="P&amp;L Monthly"/>
      <sheetName val="P&amp;L Quarterly"/>
      <sheetName val="P&amp;L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2293.6779999999962</v>
          </cell>
        </row>
        <row r="17">
          <cell r="B17">
            <v>1750</v>
          </cell>
          <cell r="F17">
            <v>1750</v>
          </cell>
          <cell r="J17">
            <v>1750</v>
          </cell>
          <cell r="N17">
            <v>1750</v>
          </cell>
        </row>
      </sheetData>
      <sheetData sheetId="6"/>
      <sheetData sheetId="7">
        <row r="4">
          <cell r="B4">
            <v>884.70099999999638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s"/>
      <sheetName val="Sold Stocks"/>
      <sheetName val="Mutual Fund"/>
      <sheetName val="Dividends"/>
      <sheetName val="P&amp;L Monthly"/>
      <sheetName val="P&amp;L Quarter"/>
      <sheetName val="P&amp;L Consolidated"/>
      <sheetName val="Bank Statement"/>
      <sheetName val="Account Reconcil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297.17225000000013</v>
          </cell>
        </row>
        <row r="5">
          <cell r="B5">
            <v>0.94030107379960826</v>
          </cell>
        </row>
        <row r="6">
          <cell r="B6">
            <v>298.11255107379975</v>
          </cell>
        </row>
        <row r="7">
          <cell r="B7">
            <v>0</v>
          </cell>
        </row>
        <row r="8">
          <cell r="B8">
            <v>138.3298999999999</v>
          </cell>
        </row>
        <row r="9">
          <cell r="B9">
            <v>138.3298999999999</v>
          </cell>
        </row>
        <row r="10">
          <cell r="B10">
            <v>6.0039999999999996</v>
          </cell>
        </row>
        <row r="11">
          <cell r="B11">
            <v>442.44645107379966</v>
          </cell>
        </row>
        <row r="13">
          <cell r="B13">
            <v>-136.08068939999973</v>
          </cell>
        </row>
        <row r="14">
          <cell r="B14">
            <v>0</v>
          </cell>
        </row>
        <row r="15">
          <cell r="B15">
            <v>-136.08068939999973</v>
          </cell>
        </row>
        <row r="16">
          <cell r="B16">
            <v>306.36576167379997</v>
          </cell>
        </row>
      </sheetData>
      <sheetData sheetId="7"/>
      <sheetData sheetId="8">
        <row r="4">
          <cell r="B4">
            <v>378.71684690000018</v>
          </cell>
        </row>
      </sheetData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 Report"/>
      <sheetName val="Sold Stocks"/>
      <sheetName val="Dividends"/>
      <sheetName val="P&amp;L Monthly"/>
      <sheetName val="P&amp;L Quarterly"/>
      <sheetName val="P&amp;L"/>
      <sheetName val="Bank Statement"/>
      <sheetName val="Account Reconci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B4">
            <v>-1669.6341999999986</v>
          </cell>
        </row>
        <row r="5">
          <cell r="B5">
            <v>0</v>
          </cell>
        </row>
        <row r="6">
          <cell r="B6">
            <v>-1669.6341999999986</v>
          </cell>
        </row>
        <row r="7">
          <cell r="B7">
            <v>0</v>
          </cell>
        </row>
        <row r="8">
          <cell r="B8">
            <v>2506.9151999999995</v>
          </cell>
        </row>
        <row r="9">
          <cell r="B9">
            <v>2506.9151999999995</v>
          </cell>
        </row>
        <row r="10">
          <cell r="B10">
            <v>119.53999999999999</v>
          </cell>
        </row>
        <row r="11">
          <cell r="B11">
            <v>956.82100000000082</v>
          </cell>
        </row>
        <row r="12">
          <cell r="B12">
            <v>0</v>
          </cell>
        </row>
        <row r="13">
          <cell r="B13">
            <v>-219.48999999999998</v>
          </cell>
        </row>
        <row r="14">
          <cell r="B14">
            <v>0</v>
          </cell>
        </row>
        <row r="15">
          <cell r="B15">
            <v>-219.48999999999998</v>
          </cell>
        </row>
        <row r="16">
          <cell r="B16">
            <v>737.33100000000081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s"/>
      <sheetName val="Sold Stocks"/>
      <sheetName val="Mutual Fund"/>
      <sheetName val="Dividends"/>
      <sheetName val="P&amp;L Monthly"/>
      <sheetName val="P&amp;L Quarter"/>
      <sheetName val="P&amp;L Consolidated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-777.23450310000032</v>
          </cell>
        </row>
      </sheetData>
      <sheetData sheetId="7"/>
      <sheetData sheetId="8">
        <row r="4">
          <cell r="B4">
            <v>-223.78170310000004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s"/>
      <sheetName val="Sold Stocks"/>
      <sheetName val="Mutual Fund"/>
      <sheetName val="Dividends"/>
      <sheetName val="P&amp;L Monthly"/>
      <sheetName val="P&amp;L Quarter"/>
      <sheetName val="P&amp;L Consolidated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-471.90820309999998</v>
          </cell>
        </row>
        <row r="5">
          <cell r="B5">
            <v>-104.99600444800001</v>
          </cell>
        </row>
        <row r="6">
          <cell r="B6">
            <v>-576.90420754799993</v>
          </cell>
        </row>
        <row r="8">
          <cell r="B8">
            <v>219.73585309999996</v>
          </cell>
        </row>
        <row r="9">
          <cell r="B9">
            <v>219.73585309999996</v>
          </cell>
        </row>
        <row r="10">
          <cell r="B10">
            <v>41.362490000000001</v>
          </cell>
        </row>
        <row r="11">
          <cell r="B11">
            <v>-315.80586444799997</v>
          </cell>
        </row>
        <row r="13">
          <cell r="B13">
            <v>-58.293389099999857</v>
          </cell>
        </row>
        <row r="14">
          <cell r="B14">
            <v>-118</v>
          </cell>
        </row>
        <row r="15">
          <cell r="B15">
            <v>-176.29338909999984</v>
          </cell>
        </row>
        <row r="16">
          <cell r="B16">
            <v>-492.09925354799981</v>
          </cell>
        </row>
      </sheetData>
      <sheetData sheetId="7"/>
      <sheetData sheetId="8">
        <row r="4">
          <cell r="B4">
            <v>81.544596900000059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 Report"/>
      <sheetName val="Sold Stocks"/>
      <sheetName val="Dividends"/>
      <sheetName val="P&amp;L Monthly"/>
      <sheetName val="P&amp;L Quarterly"/>
      <sheetName val="P&amp;L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-181.20280000000128</v>
          </cell>
        </row>
        <row r="5">
          <cell r="B5">
            <v>0</v>
          </cell>
        </row>
        <row r="6">
          <cell r="B6">
            <v>-181.20280000000128</v>
          </cell>
        </row>
        <row r="7">
          <cell r="B7">
            <v>0</v>
          </cell>
        </row>
        <row r="8">
          <cell r="B8">
            <v>-802.03200000000015</v>
          </cell>
        </row>
        <row r="9">
          <cell r="B9">
            <v>-802.03200000000015</v>
          </cell>
        </row>
        <row r="10">
          <cell r="B10">
            <v>95.77</v>
          </cell>
        </row>
        <row r="11">
          <cell r="B11">
            <v>-887.46480000000145</v>
          </cell>
        </row>
        <row r="13">
          <cell r="B13">
            <v>-196.81000000000003</v>
          </cell>
        </row>
        <row r="14">
          <cell r="B14">
            <v>0</v>
          </cell>
        </row>
        <row r="15">
          <cell r="B15">
            <v>-196.81000000000003</v>
          </cell>
        </row>
        <row r="16">
          <cell r="B16">
            <v>-1084.2748000000015</v>
          </cell>
        </row>
      </sheetData>
      <sheetData sheetId="6"/>
      <sheetData sheetId="7">
        <row r="4">
          <cell r="B4">
            <v>260.65719999999874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s"/>
      <sheetName val="Sold Stocks"/>
      <sheetName val="Mutual Fund"/>
      <sheetName val="Dividends"/>
      <sheetName val="P&amp;L (AED)"/>
    </sheetNames>
    <sheetDataSet>
      <sheetData sheetId="0"/>
      <sheetData sheetId="1">
        <row r="7">
          <cell r="I7">
            <v>20000000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s"/>
      <sheetName val="Sold Stocks"/>
      <sheetName val="Mutual Fund"/>
      <sheetName val="Dividends"/>
      <sheetName val="P&amp;L Monthly"/>
      <sheetName val="P&amp;L Quarter"/>
      <sheetName val="P&amp;L 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>
            <v>568.19680000000005</v>
          </cell>
        </row>
        <row r="5">
          <cell r="B5">
            <v>59.093734843400199</v>
          </cell>
        </row>
        <row r="6">
          <cell r="B6">
            <v>627.29053484340022</v>
          </cell>
        </row>
        <row r="7">
          <cell r="B7">
            <v>0</v>
          </cell>
        </row>
        <row r="8">
          <cell r="B8">
            <v>185.92545000000001</v>
          </cell>
        </row>
        <row r="9">
          <cell r="B9">
            <v>185.92545000000001</v>
          </cell>
        </row>
        <row r="10">
          <cell r="B10">
            <v>50.00864</v>
          </cell>
        </row>
        <row r="11">
          <cell r="B11">
            <v>863.22462484340031</v>
          </cell>
        </row>
        <row r="13">
          <cell r="B13">
            <v>-67.765155100000086</v>
          </cell>
        </row>
        <row r="15">
          <cell r="B15">
            <v>0</v>
          </cell>
        </row>
        <row r="16">
          <cell r="B16">
            <v>-67.765155100000086</v>
          </cell>
        </row>
      </sheetData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 Report"/>
      <sheetName val="Sold Stocks"/>
      <sheetName val="Dividends"/>
      <sheetName val="P&amp;L Monthly"/>
      <sheetName val="P&amp;L Quarterly"/>
      <sheetName val="P&amp;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B4">
            <v>758.57880500000954</v>
          </cell>
        </row>
        <row r="5">
          <cell r="B5">
            <v>0</v>
          </cell>
        </row>
        <row r="6">
          <cell r="B6">
            <v>758.57880500000954</v>
          </cell>
        </row>
        <row r="7">
          <cell r="B7">
            <v>0</v>
          </cell>
        </row>
        <row r="8">
          <cell r="B8">
            <v>652.56300000000101</v>
          </cell>
        </row>
        <row r="9">
          <cell r="B9">
            <v>652.56300000000101</v>
          </cell>
        </row>
        <row r="10">
          <cell r="B10">
            <v>24.25</v>
          </cell>
        </row>
        <row r="11">
          <cell r="B11">
            <v>1435.3918050000107</v>
          </cell>
        </row>
        <row r="12">
          <cell r="B12">
            <v>0</v>
          </cell>
        </row>
        <row r="13">
          <cell r="B13">
            <v>-141.70999999999876</v>
          </cell>
        </row>
        <row r="15">
          <cell r="B15">
            <v>-7.18</v>
          </cell>
        </row>
        <row r="16">
          <cell r="B16">
            <v>-148.88999999999876</v>
          </cell>
        </row>
      </sheetData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s"/>
      <sheetName val="Sold Stocks"/>
      <sheetName val="Mutual Fund"/>
      <sheetName val="Dividends"/>
      <sheetName val="P&amp;L Monthly"/>
      <sheetName val="P&amp;L Quarter"/>
      <sheetName val="P&amp;L 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B4">
            <v>-321.30934999999994</v>
          </cell>
          <cell r="G4">
            <v>801.64104999999984</v>
          </cell>
          <cell r="L4">
            <v>-495.0756999999997</v>
          </cell>
        </row>
        <row r="5">
          <cell r="B5">
            <v>-227.64853621740033</v>
          </cell>
          <cell r="G5">
            <v>155.75300333160021</v>
          </cell>
          <cell r="L5">
            <v>-274.4018130172002</v>
          </cell>
        </row>
        <row r="6">
          <cell r="B6">
            <v>-548.9578862174003</v>
          </cell>
          <cell r="G6">
            <v>957.39405333160005</v>
          </cell>
          <cell r="L6">
            <v>-769.47751301719995</v>
          </cell>
        </row>
        <row r="8">
          <cell r="B8">
            <v>1021.79005</v>
          </cell>
          <cell r="G8">
            <v>650.38154999999995</v>
          </cell>
          <cell r="L8">
            <v>-63.355378499999873</v>
          </cell>
        </row>
        <row r="9">
          <cell r="B9">
            <v>1021.79005</v>
          </cell>
          <cell r="G9">
            <v>650.38154999999995</v>
          </cell>
          <cell r="L9">
            <v>-63.355378499999873</v>
          </cell>
        </row>
        <row r="10">
          <cell r="B10">
            <v>26.311349999999997</v>
          </cell>
          <cell r="G10">
            <v>53.435099999999998</v>
          </cell>
          <cell r="L10">
            <v>28.171050000000001</v>
          </cell>
        </row>
        <row r="11">
          <cell r="B11">
            <v>499.14351378259965</v>
          </cell>
          <cell r="G11">
            <v>1661.2107033315999</v>
          </cell>
          <cell r="L11">
            <v>-804.66184151719983</v>
          </cell>
        </row>
        <row r="13">
          <cell r="B13">
            <v>-305.37118279999981</v>
          </cell>
          <cell r="G13">
            <v>-176.89024739999988</v>
          </cell>
          <cell r="L13">
            <v>-202.66853709999987</v>
          </cell>
        </row>
        <row r="15">
          <cell r="B15">
            <v>0</v>
          </cell>
          <cell r="G15">
            <v>-17.25</v>
          </cell>
          <cell r="L15">
            <v>0</v>
          </cell>
        </row>
        <row r="16">
          <cell r="B16">
            <v>-305.37118279999981</v>
          </cell>
          <cell r="G16">
            <v>-194.14024739999988</v>
          </cell>
          <cell r="L16">
            <v>-202.66853709999987</v>
          </cell>
        </row>
        <row r="18">
          <cell r="B18">
            <v>193.77233098259984</v>
          </cell>
          <cell r="G18">
            <v>1467.0704559316</v>
          </cell>
          <cell r="L18">
            <v>-1007.3303786171997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 Report"/>
      <sheetName val="Sold Stocks"/>
      <sheetName val="Dividends"/>
      <sheetName val="P&amp;L Monthly"/>
      <sheetName val="P&amp;L Quarterly"/>
      <sheetName val="P&amp;L Yearly"/>
      <sheetName val="P&amp;L"/>
      <sheetName val="Bank Statement"/>
      <sheetName val="Account Reconcilation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394.25999999999931</v>
          </cell>
        </row>
        <row r="5">
          <cell r="B5"/>
        </row>
        <row r="6">
          <cell r="B6"/>
        </row>
        <row r="7">
          <cell r="B7"/>
        </row>
        <row r="8">
          <cell r="B8">
            <v>394.25999999999931</v>
          </cell>
        </row>
        <row r="9">
          <cell r="B9">
            <v>0</v>
          </cell>
        </row>
        <row r="10">
          <cell r="B10">
            <v>2902.918999999999</v>
          </cell>
        </row>
        <row r="11">
          <cell r="B11">
            <v>2902.918999999999</v>
          </cell>
        </row>
        <row r="12">
          <cell r="B12">
            <v>280.20999999999998</v>
          </cell>
        </row>
        <row r="13">
          <cell r="B13">
            <v>3577.3889999999983</v>
          </cell>
        </row>
        <row r="14">
          <cell r="B14"/>
        </row>
        <row r="15">
          <cell r="B15">
            <v>-304.93999999999994</v>
          </cell>
        </row>
        <row r="16">
          <cell r="B16">
            <v>0</v>
          </cell>
        </row>
        <row r="17">
          <cell r="B17">
            <v>-304.93999999999994</v>
          </cell>
        </row>
        <row r="18">
          <cell r="B18">
            <v>3272.4489999999983</v>
          </cell>
        </row>
        <row r="19">
          <cell r="B19">
            <v>1750</v>
          </cell>
        </row>
      </sheetData>
      <sheetData sheetId="6"/>
      <sheetData sheetId="7">
        <row r="4">
          <cell r="B4">
            <v>5767.16</v>
          </cell>
        </row>
        <row r="5">
          <cell r="B5"/>
        </row>
        <row r="6">
          <cell r="B6"/>
        </row>
        <row r="7">
          <cell r="B7"/>
        </row>
        <row r="8">
          <cell r="B8">
            <v>5767.16</v>
          </cell>
        </row>
        <row r="9">
          <cell r="B9">
            <v>-4345.4865620000064</v>
          </cell>
        </row>
        <row r="10">
          <cell r="B10">
            <v>13952.760194999995</v>
          </cell>
        </row>
        <row r="11">
          <cell r="B11">
            <v>9607.2736329999898</v>
          </cell>
        </row>
        <row r="12">
          <cell r="B12">
            <v>783.92000000000007</v>
          </cell>
        </row>
        <row r="13">
          <cell r="B13">
            <v>16158.35363299999</v>
          </cell>
        </row>
        <row r="15">
          <cell r="B15">
            <v>-3645.9986659861111</v>
          </cell>
        </row>
        <row r="16">
          <cell r="B16">
            <v>-64.36</v>
          </cell>
        </row>
        <row r="17">
          <cell r="B17">
            <v>-3710.3586659861112</v>
          </cell>
        </row>
        <row r="18">
          <cell r="B18">
            <v>12447.994967013878</v>
          </cell>
        </row>
        <row r="19">
          <cell r="B19">
            <v>21000</v>
          </cell>
        </row>
        <row r="20">
          <cell r="B20">
            <v>-8552.0050329861224</v>
          </cell>
        </row>
      </sheetData>
      <sheetData sheetId="8">
        <row r="4">
          <cell r="B4">
            <v>5767.16</v>
          </cell>
        </row>
        <row r="5">
          <cell r="B5"/>
        </row>
        <row r="6">
          <cell r="B6"/>
        </row>
        <row r="7">
          <cell r="B7"/>
        </row>
        <row r="8">
          <cell r="B8">
            <v>5767.16</v>
          </cell>
        </row>
        <row r="9">
          <cell r="B9">
            <v>-4345.4865620000064</v>
          </cell>
        </row>
        <row r="10">
          <cell r="B10">
            <v>13952.760194999995</v>
          </cell>
        </row>
        <row r="11">
          <cell r="B11">
            <v>9607.2736329999898</v>
          </cell>
        </row>
        <row r="12">
          <cell r="B12">
            <v>783.92000000000007</v>
          </cell>
        </row>
        <row r="13">
          <cell r="B13">
            <v>16158.35363299999</v>
          </cell>
        </row>
        <row r="14">
          <cell r="B14"/>
        </row>
        <row r="15">
          <cell r="B15">
            <v>-3645.9986659861111</v>
          </cell>
        </row>
        <row r="16">
          <cell r="B16"/>
        </row>
        <row r="17">
          <cell r="B17">
            <v>-64.36</v>
          </cell>
        </row>
        <row r="18">
          <cell r="B18">
            <v>-3710.3586659861112</v>
          </cell>
        </row>
        <row r="19">
          <cell r="B19">
            <v>12447.994967013878</v>
          </cell>
        </row>
      </sheetData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 Report"/>
      <sheetName val="Sold Stocks"/>
      <sheetName val="Dividends"/>
      <sheetName val="P&amp;L Monthly"/>
      <sheetName val="P&amp;L Quarterly"/>
      <sheetName val="P&amp;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>
            <v>-1379.6488050000107</v>
          </cell>
        </row>
        <row r="6">
          <cell r="B6">
            <v>-1379.6488050000107</v>
          </cell>
        </row>
        <row r="7">
          <cell r="B7">
            <v>0</v>
          </cell>
        </row>
        <row r="8">
          <cell r="B8">
            <v>2675.639000000001</v>
          </cell>
        </row>
        <row r="9">
          <cell r="B9">
            <v>2675.639000000001</v>
          </cell>
        </row>
        <row r="10">
          <cell r="B10">
            <v>134.31</v>
          </cell>
        </row>
        <row r="11">
          <cell r="B11">
            <v>1430.3001949999903</v>
          </cell>
        </row>
        <row r="13">
          <cell r="B13">
            <v>560.72980499999846</v>
          </cell>
        </row>
        <row r="15">
          <cell r="B15">
            <v>-32.18</v>
          </cell>
        </row>
        <row r="16">
          <cell r="B16">
            <v>528.54980499999851</v>
          </cell>
        </row>
        <row r="18">
          <cell r="B18">
            <v>1958.8499999999888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 Report"/>
      <sheetName val="Sold Stocks"/>
      <sheetName val="Dividends"/>
      <sheetName val="P&amp;L Monthly"/>
      <sheetName val="P&amp;L Quarterly"/>
      <sheetName val="P&amp;L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-1029.7868050000011</v>
          </cell>
        </row>
      </sheetData>
      <sheetData sheetId="6">
        <row r="4">
          <cell r="J4">
            <v>1062.9300000000012</v>
          </cell>
        </row>
        <row r="6">
          <cell r="J6">
            <v>1062.9300000000012</v>
          </cell>
        </row>
        <row r="7">
          <cell r="J7">
            <v>-4345.4865620000064</v>
          </cell>
        </row>
        <row r="8">
          <cell r="J8">
            <v>0</v>
          </cell>
        </row>
        <row r="9">
          <cell r="J9">
            <v>-4345.4865620000064</v>
          </cell>
        </row>
        <row r="10">
          <cell r="J10">
            <v>85.72</v>
          </cell>
        </row>
        <row r="11">
          <cell r="J11">
            <v>-3196.8365620000054</v>
          </cell>
        </row>
        <row r="13">
          <cell r="J13">
            <v>-2871.0184709861114</v>
          </cell>
        </row>
        <row r="15">
          <cell r="J15">
            <v>-25</v>
          </cell>
        </row>
        <row r="16">
          <cell r="J16">
            <v>-2896.0184709861114</v>
          </cell>
        </row>
        <row r="17">
          <cell r="J17">
            <v>-6092.8550329861173</v>
          </cell>
        </row>
      </sheetData>
      <sheetData sheetId="7">
        <row r="4">
          <cell r="B4">
            <v>-587.92680500000097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Pharma Sector"/>
      <sheetName val="Invested Stocks"/>
      <sheetName val="Sold Stocks"/>
      <sheetName val="Mutual Fund"/>
      <sheetName val="Dividends"/>
      <sheetName val="P&amp;L Monthly"/>
      <sheetName val="P&amp;L Quarter"/>
      <sheetName val="P&amp;L Consolidated"/>
    </sheetNames>
    <sheetDataSet>
      <sheetData sheetId="0"/>
      <sheetData sheetId="1"/>
      <sheetData sheetId="2"/>
      <sheetData sheetId="3"/>
      <sheetData sheetId="4"/>
      <sheetData sheetId="5">
        <row r="7">
          <cell r="G7">
            <v>-289198.40224780038</v>
          </cell>
        </row>
      </sheetData>
      <sheetData sheetId="6"/>
      <sheetData sheetId="7">
        <row r="4">
          <cell r="B4">
            <v>-868.65464999999995</v>
          </cell>
        </row>
        <row r="5">
          <cell r="B5">
            <v>221.06270000000018</v>
          </cell>
        </row>
        <row r="6">
          <cell r="B6">
            <v>6.2972643960001875</v>
          </cell>
        </row>
        <row r="7">
          <cell r="B7">
            <v>-641.2946856039996</v>
          </cell>
        </row>
        <row r="8">
          <cell r="B8"/>
        </row>
        <row r="9">
          <cell r="B9">
            <v>500.15819999999974</v>
          </cell>
        </row>
        <row r="10">
          <cell r="B10">
            <v>500.15819999999974</v>
          </cell>
        </row>
        <row r="11">
          <cell r="B11">
            <v>56.738849999999999</v>
          </cell>
        </row>
        <row r="12">
          <cell r="B12">
            <v>-84.397635603999859</v>
          </cell>
        </row>
        <row r="13">
          <cell r="B13"/>
        </row>
        <row r="14">
          <cell r="B14">
            <v>-117.65587169999955</v>
          </cell>
        </row>
        <row r="15">
          <cell r="B15">
            <v>0</v>
          </cell>
        </row>
        <row r="16">
          <cell r="B16">
            <v>-117.65587169999955</v>
          </cell>
        </row>
        <row r="17">
          <cell r="B17">
            <v>-202.05350730399942</v>
          </cell>
        </row>
      </sheetData>
      <sheetData sheetId="8"/>
      <sheetData sheetId="9">
        <row r="4">
          <cell r="B4">
            <v>895.96709690000023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 Report"/>
      <sheetName val="Sold Stocks"/>
      <sheetName val="Dividends"/>
      <sheetName val="P&amp;L Monthly"/>
      <sheetName val="P&amp;L Quarterly"/>
      <sheetName val="P&amp;L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4554.9500000000053</v>
          </cell>
        </row>
        <row r="5">
          <cell r="B5"/>
        </row>
        <row r="6">
          <cell r="B6"/>
        </row>
        <row r="7">
          <cell r="B7">
            <v>4554.9500000000053</v>
          </cell>
        </row>
        <row r="8">
          <cell r="B8">
            <v>0</v>
          </cell>
        </row>
        <row r="9">
          <cell r="B9">
            <v>1958.6050000000005</v>
          </cell>
        </row>
        <row r="10">
          <cell r="B10">
            <v>1958.6050000000005</v>
          </cell>
        </row>
        <row r="11">
          <cell r="B11">
            <v>44.12</v>
          </cell>
        </row>
        <row r="12">
          <cell r="B12">
            <v>6557.6750000000056</v>
          </cell>
        </row>
        <row r="13">
          <cell r="B13"/>
        </row>
        <row r="14">
          <cell r="B14">
            <v>-184.69999999999996</v>
          </cell>
        </row>
        <row r="15">
          <cell r="B15">
            <v>0</v>
          </cell>
        </row>
        <row r="16">
          <cell r="B16">
            <v>-184.69999999999996</v>
          </cell>
        </row>
        <row r="17">
          <cell r="B17">
            <v>6372.9750000000058</v>
          </cell>
        </row>
        <row r="18">
          <cell r="B18">
            <v>1850</v>
          </cell>
        </row>
      </sheetData>
      <sheetData sheetId="6"/>
      <sheetData sheetId="7">
        <row r="4">
          <cell r="B4">
            <v>5372.9000000000005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s"/>
      <sheetName val="Sold Stocks"/>
      <sheetName val="Mutual Fund"/>
      <sheetName val="Dividends"/>
      <sheetName val="P&amp;L Monthly"/>
      <sheetName val="P&amp;L Quarter"/>
      <sheetName val="P&amp;L Consolidated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-1021.5552999999995</v>
          </cell>
        </row>
        <row r="17">
          <cell r="B17">
            <v>315</v>
          </cell>
        </row>
      </sheetData>
      <sheetData sheetId="7"/>
      <sheetData sheetId="8">
        <row r="4">
          <cell r="B4">
            <v>743.06644690000053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s"/>
      <sheetName val="Sold Stocks"/>
      <sheetName val="Mutual Fund"/>
      <sheetName val="Dividends"/>
      <sheetName val="P&amp;L Monthly"/>
      <sheetName val="P&amp;L Quarter"/>
      <sheetName val="P&amp;L 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B4">
            <v>1385.9049</v>
          </cell>
        </row>
        <row r="5">
          <cell r="B5">
            <v>95.763647789999837</v>
          </cell>
        </row>
        <row r="6">
          <cell r="B6">
            <v>1481.6685477899998</v>
          </cell>
        </row>
        <row r="8">
          <cell r="B8">
            <v>497.90535000000011</v>
          </cell>
        </row>
        <row r="9">
          <cell r="B9">
            <v>497.90535000000011</v>
          </cell>
        </row>
        <row r="10">
          <cell r="B10">
            <v>16.589099999999998</v>
          </cell>
        </row>
        <row r="11">
          <cell r="B11">
            <v>1996.16299779</v>
          </cell>
        </row>
        <row r="13">
          <cell r="B13">
            <v>-388.18399910000011</v>
          </cell>
        </row>
        <row r="14">
          <cell r="B14">
            <v>0</v>
          </cell>
        </row>
        <row r="15">
          <cell r="B15">
            <v>-388.18399910000011</v>
          </cell>
        </row>
        <row r="16">
          <cell r="B16">
            <v>1607.9789986899998</v>
          </cell>
        </row>
      </sheetData>
      <sheetData sheetId="7" refreshError="1"/>
      <sheetData sheetId="8">
        <row r="4">
          <cell r="B4">
            <v>1764.6217469000001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 Report"/>
      <sheetName val="Sold Stocks"/>
      <sheetName val="Dividends"/>
      <sheetName val="P&amp;L Monthly"/>
      <sheetName val="P&amp;L Quarterly"/>
      <sheetName val="P&amp;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B4">
            <v>2226.9269999999951</v>
          </cell>
        </row>
        <row r="6">
          <cell r="B6">
            <v>2226.9269999999951</v>
          </cell>
        </row>
        <row r="7">
          <cell r="B7">
            <v>0</v>
          </cell>
        </row>
        <row r="8">
          <cell r="B8">
            <v>4058.1561949999978</v>
          </cell>
        </row>
        <row r="9">
          <cell r="B9">
            <v>4058.1561949999978</v>
          </cell>
        </row>
        <row r="10">
          <cell r="B10">
            <v>0</v>
          </cell>
        </row>
        <row r="11">
          <cell r="B11">
            <v>6285.0831949999929</v>
          </cell>
        </row>
        <row r="13">
          <cell r="B13">
            <v>-288.06</v>
          </cell>
        </row>
        <row r="14">
          <cell r="B14">
            <v>0</v>
          </cell>
        </row>
        <row r="15">
          <cell r="B15">
            <v>-288.06</v>
          </cell>
        </row>
        <row r="16">
          <cell r="B16">
            <v>5997.0231949999925</v>
          </cell>
        </row>
      </sheetData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s"/>
      <sheetName val="Sold Stocks"/>
      <sheetName val="Mutual Fund"/>
      <sheetName val="Dividends"/>
      <sheetName val="P&amp;L Monthly"/>
      <sheetName val="P&amp;L Quarter"/>
      <sheetName val="P&amp;L 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>
            <v>846.87464999999986</v>
          </cell>
        </row>
        <row r="17">
          <cell r="B17">
            <v>300</v>
          </cell>
          <cell r="F17">
            <v>220</v>
          </cell>
          <cell r="J17">
            <v>210</v>
          </cell>
          <cell r="N17">
            <v>200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BC97-1A6A-43D1-92CD-F8104278EBAE}">
  <dimension ref="A1:K27"/>
  <sheetViews>
    <sheetView topLeftCell="A2" zoomScale="80" zoomScaleNormal="80" workbookViewId="0">
      <selection activeCell="C15" sqref="C15"/>
    </sheetView>
  </sheetViews>
  <sheetFormatPr defaultColWidth="9.140625" defaultRowHeight="15"/>
  <cols>
    <col min="1" max="1" width="29.5703125" style="113" customWidth="1"/>
    <col min="2" max="2" width="20.85546875" style="113" customWidth="1"/>
    <col min="3" max="3" width="8.7109375" style="113" bestFit="1" customWidth="1"/>
    <col min="4" max="4" width="9.140625" style="113" customWidth="1"/>
    <col min="5" max="5" width="29.5703125" style="113" bestFit="1" customWidth="1"/>
    <col min="6" max="6" width="18.85546875" style="113" customWidth="1"/>
    <col min="7" max="8" width="9.140625" style="113"/>
    <col min="9" max="9" width="29.5703125" style="113" bestFit="1" customWidth="1"/>
    <col min="10" max="10" width="20.5703125" style="113" customWidth="1"/>
    <col min="11" max="11" width="11.140625" style="113" bestFit="1" customWidth="1"/>
    <col min="12" max="16384" width="9.140625" style="113"/>
  </cols>
  <sheetData>
    <row r="1" spans="1:11" ht="18.75" customHeight="1" thickBot="1">
      <c r="A1" s="164" t="s">
        <v>16</v>
      </c>
      <c r="B1" s="165"/>
      <c r="E1" s="164" t="s">
        <v>17</v>
      </c>
      <c r="F1" s="165"/>
      <c r="I1" s="166" t="s">
        <v>18</v>
      </c>
      <c r="J1" s="167"/>
    </row>
    <row r="2" spans="1:11" ht="7.5" customHeight="1" thickBot="1"/>
    <row r="3" spans="1:11" ht="15" customHeight="1">
      <c r="A3" s="168" t="s">
        <v>41</v>
      </c>
      <c r="B3" s="169"/>
      <c r="E3" s="168" t="s">
        <v>41</v>
      </c>
      <c r="F3" s="169"/>
      <c r="I3" s="168" t="s">
        <v>41</v>
      </c>
      <c r="J3" s="169"/>
    </row>
    <row r="4" spans="1:11" ht="32.25" customHeight="1">
      <c r="A4" s="170"/>
      <c r="B4" s="171"/>
      <c r="E4" s="170"/>
      <c r="F4" s="171"/>
      <c r="I4" s="170"/>
      <c r="J4" s="171"/>
    </row>
    <row r="5" spans="1:11" ht="18.75" customHeight="1">
      <c r="A5" s="1" t="s">
        <v>0</v>
      </c>
      <c r="B5" s="115"/>
      <c r="E5" s="114" t="s">
        <v>0</v>
      </c>
      <c r="F5" s="115"/>
      <c r="I5" s="114" t="s">
        <v>0</v>
      </c>
      <c r="J5" s="115"/>
    </row>
    <row r="6" spans="1:11" ht="18.75" customHeight="1">
      <c r="A6" s="116" t="s">
        <v>1</v>
      </c>
      <c r="B6" s="117">
        <f>'[1]P&amp;L Monthly'!B4/0.01739</f>
        <v>44665.181138585365</v>
      </c>
      <c r="E6" s="116" t="s">
        <v>1</v>
      </c>
      <c r="F6" s="117">
        <f>'[2]P&amp;L Monthly'!B4*3.67</f>
        <v>1446.9341999999974</v>
      </c>
      <c r="I6" s="118" t="s">
        <v>1</v>
      </c>
      <c r="J6" s="119">
        <f>F6+B6</f>
        <v>46112.115338585361</v>
      </c>
    </row>
    <row r="7" spans="1:11" ht="18.75" customHeight="1">
      <c r="A7" s="116" t="s">
        <v>37</v>
      </c>
      <c r="B7" s="117">
        <f>'[1]P&amp;L Monthly'!B5/0.01739</f>
        <v>27379.505462909699</v>
      </c>
      <c r="E7" s="116" t="s">
        <v>37</v>
      </c>
      <c r="F7" s="117">
        <f>'[2]P&amp;L Monthly'!B5*3.67</f>
        <v>0</v>
      </c>
      <c r="I7" s="118" t="s">
        <v>37</v>
      </c>
      <c r="J7" s="119">
        <f>F7+B7</f>
        <v>27379.505462909699</v>
      </c>
    </row>
    <row r="8" spans="1:11" ht="18.75" customHeight="1">
      <c r="A8" s="3" t="s">
        <v>40</v>
      </c>
      <c r="B8" s="117">
        <f>'[1]P&amp;L Monthly'!B6/0.01739</f>
        <v>-2480.9143185738885</v>
      </c>
      <c r="E8" s="3" t="s">
        <v>40</v>
      </c>
      <c r="F8" s="117">
        <f>'[2]P&amp;L Monthly'!B6*3.67</f>
        <v>0</v>
      </c>
      <c r="I8" s="14" t="s">
        <v>40</v>
      </c>
      <c r="J8" s="119">
        <f>F8+B8</f>
        <v>-2480.9143185738885</v>
      </c>
    </row>
    <row r="9" spans="1:11" ht="18.75" customHeight="1">
      <c r="A9" s="116" t="s">
        <v>2</v>
      </c>
      <c r="B9" s="117">
        <f>'[1]P&amp;L Monthly'!B7/0.01739</f>
        <v>5157.6071691891866</v>
      </c>
      <c r="E9" s="116" t="s">
        <v>2</v>
      </c>
      <c r="F9" s="117">
        <f>'[2]P&amp;L Monthly'!B7*3.67</f>
        <v>0</v>
      </c>
      <c r="I9" s="118" t="s">
        <v>2</v>
      </c>
      <c r="J9" s="119">
        <f>F9+B9</f>
        <v>5157.6071691891866</v>
      </c>
    </row>
    <row r="10" spans="1:11" ht="18.75" customHeight="1">
      <c r="A10" s="120" t="s">
        <v>3</v>
      </c>
      <c r="B10" s="121">
        <f>'[1]P&amp;L Monthly'!B8/0.01739</f>
        <v>74721.379452110355</v>
      </c>
      <c r="E10" s="120" t="s">
        <v>3</v>
      </c>
      <c r="F10" s="121">
        <f>'[2]P&amp;L Monthly'!B8*3.67</f>
        <v>1446.9341999999974</v>
      </c>
      <c r="I10" s="122" t="s">
        <v>3</v>
      </c>
      <c r="J10" s="123">
        <f>SUM(J6:J9)</f>
        <v>76168.313652110359</v>
      </c>
      <c r="K10" s="124"/>
    </row>
    <row r="11" spans="1:11" ht="18.75" customHeight="1">
      <c r="A11" s="116" t="s">
        <v>20</v>
      </c>
      <c r="B11" s="117">
        <f>'[1]P&amp;L Monthly'!B9/0.01739</f>
        <v>0</v>
      </c>
      <c r="E11" s="116" t="s">
        <v>20</v>
      </c>
      <c r="F11" s="117">
        <f>'[2]P&amp;L Monthly'!B9*3.67</f>
        <v>0</v>
      </c>
      <c r="I11" s="118" t="s">
        <v>20</v>
      </c>
      <c r="J11" s="119">
        <f>B11+F11</f>
        <v>0</v>
      </c>
    </row>
    <row r="12" spans="1:11" ht="18.75" customHeight="1">
      <c r="A12" s="116" t="s">
        <v>4</v>
      </c>
      <c r="B12" s="117">
        <f>'[1]P&amp;L Monthly'!B10/0.01739</f>
        <v>26949.45658424381</v>
      </c>
      <c r="E12" s="116" t="s">
        <v>4</v>
      </c>
      <c r="F12" s="117">
        <f>'[2]P&amp;L Monthly'!B10*3.67</f>
        <v>10653.712729999996</v>
      </c>
      <c r="I12" s="118" t="s">
        <v>4</v>
      </c>
      <c r="J12" s="119">
        <f>B12+F12</f>
        <v>37603.169314243802</v>
      </c>
      <c r="K12" s="33"/>
    </row>
    <row r="13" spans="1:11" ht="18.75" customHeight="1">
      <c r="A13" s="120" t="s">
        <v>5</v>
      </c>
      <c r="B13" s="121">
        <f>'[1]P&amp;L Monthly'!B11/0.01739</f>
        <v>26949.45658424381</v>
      </c>
      <c r="C13" s="33"/>
      <c r="E13" s="120" t="s">
        <v>14</v>
      </c>
      <c r="F13" s="121">
        <f>'[2]P&amp;L Monthly'!B11*3.67</f>
        <v>10653.712729999996</v>
      </c>
      <c r="I13" s="122" t="s">
        <v>5</v>
      </c>
      <c r="J13" s="123">
        <f>F13+B13</f>
        <v>37603.169314243802</v>
      </c>
      <c r="K13" s="33"/>
    </row>
    <row r="14" spans="1:11" ht="18.75" customHeight="1">
      <c r="A14" s="120" t="s">
        <v>6</v>
      </c>
      <c r="B14" s="121">
        <f>'[1]P&amp;L Monthly'!B12/0.01739</f>
        <v>210.63829787234042</v>
      </c>
      <c r="C14" s="33"/>
      <c r="E14" s="120" t="s">
        <v>15</v>
      </c>
      <c r="F14" s="121">
        <f>'[2]P&amp;L Monthly'!B12*3.67</f>
        <v>1028.3706999999999</v>
      </c>
      <c r="G14" s="125"/>
      <c r="I14" s="122" t="s">
        <v>6</v>
      </c>
      <c r="J14" s="123">
        <f>F14+B14</f>
        <v>1239.0089978723404</v>
      </c>
      <c r="K14" s="41"/>
    </row>
    <row r="15" spans="1:11" ht="18.75" customHeight="1">
      <c r="A15" s="127" t="s">
        <v>7</v>
      </c>
      <c r="B15" s="128">
        <f>'[1]P&amp;L Monthly'!B13/0.01739</f>
        <v>101881.4743342265</v>
      </c>
      <c r="C15" s="20">
        <f>B15/(30000000/17.39)</f>
        <v>5.9057294622406629E-2</v>
      </c>
      <c r="E15" s="127" t="s">
        <v>7</v>
      </c>
      <c r="F15" s="128">
        <f>'[2]P&amp;L Monthly'!B13*3.67</f>
        <v>13129.017629999993</v>
      </c>
      <c r="G15" s="130">
        <f>F15/(199960.64*3.67)</f>
        <v>1.7890465843678028E-2</v>
      </c>
      <c r="I15" s="131" t="s">
        <v>7</v>
      </c>
      <c r="J15" s="132">
        <f>J10+J13+J14</f>
        <v>115010.4919642265</v>
      </c>
      <c r="K15" s="18">
        <f>J15/((199960.64*3.67)+(30000000/17.39))</f>
        <v>4.6771531780126017E-2</v>
      </c>
    </row>
    <row r="16" spans="1:11" ht="18.75" customHeight="1">
      <c r="A16" s="134" t="s">
        <v>8</v>
      </c>
      <c r="B16" s="117">
        <f>'[1]P&amp;L Monthly'!B14/0.01739</f>
        <v>0</v>
      </c>
      <c r="C16" s="40"/>
      <c r="E16" s="134" t="s">
        <v>8</v>
      </c>
      <c r="F16" s="117">
        <f>'[2]P&amp;L Monthly'!B14*3.67</f>
        <v>0</v>
      </c>
      <c r="G16" s="125"/>
      <c r="I16" s="136" t="s">
        <v>8</v>
      </c>
      <c r="J16" s="119"/>
      <c r="K16" s="41"/>
    </row>
    <row r="17" spans="1:11" ht="18.75" customHeight="1">
      <c r="A17" s="116" t="s">
        <v>9</v>
      </c>
      <c r="B17" s="117">
        <f>'[1]P&amp;L Monthly'!B15/0.01739</f>
        <v>-5834.3454974122951</v>
      </c>
      <c r="C17" s="40"/>
      <c r="E17" s="116" t="s">
        <v>9</v>
      </c>
      <c r="F17" s="117">
        <f>'[2]P&amp;L Monthly'!B15*3.67</f>
        <v>-1119.1297999999997</v>
      </c>
      <c r="G17" s="125"/>
      <c r="I17" s="118" t="s">
        <v>9</v>
      </c>
      <c r="J17" s="119">
        <f>F17+B17</f>
        <v>-6953.4752974122948</v>
      </c>
      <c r="K17" s="41"/>
    </row>
    <row r="18" spans="1:11" ht="18.75" customHeight="1">
      <c r="A18" s="116" t="s">
        <v>10</v>
      </c>
      <c r="B18" s="117">
        <f>'[1]P&amp;L Monthly'!B16/0.01739</f>
        <v>0</v>
      </c>
      <c r="C18" s="40"/>
      <c r="E18" s="116" t="s">
        <v>10</v>
      </c>
      <c r="F18" s="117">
        <f>'[2]P&amp;L Monthly'!B16*3.67</f>
        <v>0</v>
      </c>
      <c r="G18" s="125"/>
      <c r="I18" s="118" t="s">
        <v>10</v>
      </c>
      <c r="J18" s="119">
        <f>F18+B18</f>
        <v>0</v>
      </c>
      <c r="K18" s="33"/>
    </row>
    <row r="19" spans="1:11" ht="18.75" customHeight="1">
      <c r="A19" s="127" t="s">
        <v>11</v>
      </c>
      <c r="B19" s="128">
        <f>'[1]P&amp;L Monthly'!B17/0.01739</f>
        <v>-5834.3454974122951</v>
      </c>
      <c r="C19" s="40"/>
      <c r="E19" s="127" t="s">
        <v>11</v>
      </c>
      <c r="F19" s="128">
        <f>'[2]P&amp;L Monthly'!B17*3.67</f>
        <v>-1119.1297999999997</v>
      </c>
      <c r="G19" s="125"/>
      <c r="I19" s="131" t="s">
        <v>11</v>
      </c>
      <c r="J19" s="132">
        <f>SUM(J17:J18)</f>
        <v>-6953.4752974122948</v>
      </c>
      <c r="K19" s="41"/>
    </row>
    <row r="20" spans="1:11" ht="18.75" customHeight="1">
      <c r="A20" s="137" t="s">
        <v>30</v>
      </c>
      <c r="B20" s="138">
        <f>'[1]P&amp;L Monthly'!B18/0.01739</f>
        <v>96047.128836814198</v>
      </c>
      <c r="C20" s="20">
        <f>B20/(30000000/17.39)</f>
        <v>5.5675319015739966E-2</v>
      </c>
      <c r="E20" s="137" t="s">
        <v>30</v>
      </c>
      <c r="F20" s="138">
        <f>'[2]P&amp;L Monthly'!B18*3.67</f>
        <v>12009.887829999994</v>
      </c>
      <c r="G20" s="130">
        <f>F20/(199960.64*3.67)</f>
        <v>1.6365465723654406E-2</v>
      </c>
      <c r="I20" s="139" t="s">
        <v>27</v>
      </c>
      <c r="J20" s="138">
        <f>J15+J19</f>
        <v>108057.0166668142</v>
      </c>
      <c r="K20" s="18">
        <f>J20/((199960.64*3.67)+(30000000/17.39))</f>
        <v>4.3943748981349708E-2</v>
      </c>
    </row>
    <row r="21" spans="1:11" ht="17.25">
      <c r="A21" s="137"/>
      <c r="B21" s="138"/>
      <c r="C21" s="20"/>
      <c r="E21" s="137"/>
      <c r="F21" s="138"/>
      <c r="G21" s="141"/>
      <c r="I21" s="139"/>
      <c r="J21" s="138"/>
      <c r="K21" s="18"/>
    </row>
    <row r="22" spans="1:11" ht="18.75" customHeight="1">
      <c r="A22" s="37" t="s">
        <v>28</v>
      </c>
      <c r="B22" s="138">
        <v>0</v>
      </c>
      <c r="C22" s="20"/>
      <c r="E22" s="37" t="s">
        <v>28</v>
      </c>
      <c r="F22" s="138">
        <v>0</v>
      </c>
      <c r="I22" s="37" t="s">
        <v>28</v>
      </c>
      <c r="J22" s="138">
        <f>J20*-0.25</f>
        <v>-27014.254166703551</v>
      </c>
      <c r="K22" s="33"/>
    </row>
    <row r="23" spans="1:11" ht="18" thickBot="1">
      <c r="A23" s="143" t="s">
        <v>13</v>
      </c>
      <c r="B23" s="144">
        <f>B20</f>
        <v>96047.128836814198</v>
      </c>
      <c r="C23" s="20">
        <f>B23/(30000000/17.39)</f>
        <v>5.5675319015739966E-2</v>
      </c>
      <c r="E23" s="143" t="s">
        <v>13</v>
      </c>
      <c r="F23" s="144">
        <f>F20</f>
        <v>12009.887829999994</v>
      </c>
      <c r="G23" s="130">
        <f>F23/(199960.64*3.67)</f>
        <v>1.6365465723654406E-2</v>
      </c>
      <c r="I23" s="145" t="s">
        <v>13</v>
      </c>
      <c r="J23" s="146">
        <f>J20+J22</f>
        <v>81042.76250011065</v>
      </c>
      <c r="K23" s="18">
        <f>J23/((199960.64*3.67)+(30000000/17.39))</f>
        <v>3.2957811736012282E-2</v>
      </c>
    </row>
    <row r="24" spans="1:11" ht="18" thickBot="1">
      <c r="A24" s="156"/>
      <c r="B24" s="157"/>
      <c r="C24" s="20"/>
      <c r="E24" s="156"/>
      <c r="F24" s="157"/>
      <c r="G24" s="130"/>
      <c r="I24" s="158"/>
      <c r="J24" s="159"/>
      <c r="K24" s="18"/>
    </row>
    <row r="25" spans="1:11" ht="17.25">
      <c r="A25" s="147" t="s">
        <v>33</v>
      </c>
      <c r="B25" s="148">
        <f>'[1]P&amp;L Monthly'!$B$19/0.01739</f>
        <v>17251.293847038527</v>
      </c>
      <c r="C25" s="33"/>
      <c r="E25" s="147" t="s">
        <v>33</v>
      </c>
      <c r="F25" s="148">
        <f>'[2]P&amp;L Monthly'!$B$19*3.67</f>
        <v>6422.5</v>
      </c>
      <c r="I25" s="149" t="s">
        <v>33</v>
      </c>
      <c r="J25" s="150">
        <f>F25+B25</f>
        <v>23673.793847038527</v>
      </c>
      <c r="K25" s="33"/>
    </row>
    <row r="26" spans="1:11" ht="18" thickBot="1">
      <c r="A26" s="143" t="s">
        <v>34</v>
      </c>
      <c r="B26" s="144">
        <f>B23-B25</f>
        <v>78795.834989775671</v>
      </c>
      <c r="C26" s="32">
        <f>B26/B25</f>
        <v>4.5675319015739966</v>
      </c>
      <c r="E26" s="143" t="s">
        <v>34</v>
      </c>
      <c r="F26" s="144">
        <f>F23-F25</f>
        <v>5587.3878299999942</v>
      </c>
      <c r="G26" s="32">
        <f>F26/F25</f>
        <v>0.86997085714285627</v>
      </c>
      <c r="I26" s="145" t="s">
        <v>34</v>
      </c>
      <c r="J26" s="151">
        <f>J23-J25</f>
        <v>57368.968653072123</v>
      </c>
      <c r="K26" s="18">
        <f>J26/J25</f>
        <v>2.4233111525658018</v>
      </c>
    </row>
    <row r="27" spans="1:11" ht="17.25">
      <c r="A27" s="127" t="s">
        <v>12</v>
      </c>
      <c r="B27" s="132">
        <f>(30000000/17.39)-((20000000/18.168)+(10000000/17.355))</f>
        <v>48089.925466777291</v>
      </c>
      <c r="C27" s="32">
        <f>B27/((30000000/17.39))</f>
        <v>2.7876126795575239E-2</v>
      </c>
      <c r="E27" s="127" t="s">
        <v>12</v>
      </c>
      <c r="F27" s="132">
        <f>'[3]P&amp;L Monthly'!B19*3.67</f>
        <v>0</v>
      </c>
      <c r="I27" s="152" t="s">
        <v>12</v>
      </c>
      <c r="J27" s="132">
        <f>(30000000/17.39)-((20000000/18.168)+(10000000/17.355))</f>
        <v>48089.925466777291</v>
      </c>
      <c r="K27" s="32">
        <f>J27/((30000000/17.39)+(199960.64*3.67))</f>
        <v>1.955681989407437E-2</v>
      </c>
    </row>
  </sheetData>
  <mergeCells count="6">
    <mergeCell ref="A1:B1"/>
    <mergeCell ref="E1:F1"/>
    <mergeCell ref="I1:J1"/>
    <mergeCell ref="A3:B4"/>
    <mergeCell ref="E3:F4"/>
    <mergeCell ref="I3:J4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zoomScale="80" zoomScaleNormal="80" workbookViewId="0">
      <selection activeCell="J17" sqref="J17"/>
    </sheetView>
  </sheetViews>
  <sheetFormatPr defaultRowHeight="15"/>
  <cols>
    <col min="1" max="1" width="26.7109375" customWidth="1"/>
    <col min="2" max="2" width="20.85546875" customWidth="1"/>
    <col min="4" max="4" width="9.140625" customWidth="1"/>
    <col min="5" max="5" width="27.140625" customWidth="1"/>
    <col min="6" max="6" width="18.85546875" customWidth="1"/>
    <col min="9" max="9" width="27.140625" customWidth="1"/>
    <col min="10" max="10" width="20.5703125" customWidth="1"/>
  </cols>
  <sheetData>
    <row r="1" spans="1:11" ht="9" customHeight="1" thickBot="1"/>
    <row r="2" spans="1:11" ht="23.25" thickBot="1">
      <c r="A2" s="180" t="s">
        <v>16</v>
      </c>
      <c r="B2" s="181"/>
      <c r="E2" s="180" t="s">
        <v>17</v>
      </c>
      <c r="F2" s="181"/>
      <c r="I2" s="182" t="s">
        <v>18</v>
      </c>
      <c r="J2" s="183"/>
    </row>
    <row r="3" spans="1:11" ht="7.5" customHeight="1" thickBot="1"/>
    <row r="4" spans="1:11" ht="15" customHeight="1">
      <c r="A4" s="184" t="s">
        <v>23</v>
      </c>
      <c r="B4" s="185"/>
      <c r="E4" s="184" t="s">
        <v>23</v>
      </c>
      <c r="F4" s="185"/>
      <c r="I4" s="184" t="s">
        <v>23</v>
      </c>
      <c r="J4" s="185"/>
    </row>
    <row r="5" spans="1:11" ht="66" customHeight="1">
      <c r="A5" s="186"/>
      <c r="B5" s="187"/>
      <c r="E5" s="186"/>
      <c r="F5" s="187"/>
      <c r="I5" s="186"/>
      <c r="J5" s="187"/>
    </row>
    <row r="6" spans="1:11" ht="18.75" customHeight="1">
      <c r="A6" s="1" t="s">
        <v>0</v>
      </c>
      <c r="B6" s="2"/>
      <c r="E6" s="1" t="s">
        <v>0</v>
      </c>
      <c r="F6" s="2"/>
      <c r="I6" s="1" t="s">
        <v>0</v>
      </c>
      <c r="J6" s="2"/>
    </row>
    <row r="7" spans="1:11" ht="18.75" customHeight="1">
      <c r="A7" s="3" t="s">
        <v>1</v>
      </c>
      <c r="B7" s="22">
        <f>'[19]P&amp;L Quarter'!G4/0.01764</f>
        <v>45444.503968253957</v>
      </c>
      <c r="E7" s="3" t="s">
        <v>1</v>
      </c>
      <c r="F7" s="22">
        <f>'[3]P&amp;L Quarterly'!J4*3.67</f>
        <v>3900.9531000000043</v>
      </c>
      <c r="H7" s="4"/>
      <c r="I7" s="14" t="s">
        <v>1</v>
      </c>
      <c r="J7" s="27">
        <f>F7+B7</f>
        <v>49345.457068253963</v>
      </c>
    </row>
    <row r="8" spans="1:11" ht="18.75" customHeight="1">
      <c r="A8" s="3" t="s">
        <v>2</v>
      </c>
      <c r="B8" s="22">
        <f>'[19]P&amp;L Quarter'!G5/0.01764</f>
        <v>8829.5353362585156</v>
      </c>
      <c r="E8" s="3" t="s">
        <v>2</v>
      </c>
      <c r="F8" s="22">
        <f>'[3]P&amp;L Quarterly'!J5*3.67</f>
        <v>0</v>
      </c>
      <c r="I8" s="14" t="s">
        <v>2</v>
      </c>
      <c r="J8" s="27">
        <f>F8+B8</f>
        <v>8829.5353362585156</v>
      </c>
    </row>
    <row r="9" spans="1:11" ht="18.75" customHeight="1">
      <c r="A9" s="5" t="s">
        <v>3</v>
      </c>
      <c r="B9" s="23">
        <f>'[19]P&amp;L Quarter'!G6/0.01764</f>
        <v>54274.039304512473</v>
      </c>
      <c r="E9" s="5" t="s">
        <v>3</v>
      </c>
      <c r="F9" s="23">
        <f>'[3]P&amp;L Quarterly'!J6*3.67</f>
        <v>3900.9531000000043</v>
      </c>
      <c r="I9" s="11" t="s">
        <v>3</v>
      </c>
      <c r="J9" s="28">
        <f>SUM(J7:J8)</f>
        <v>58174.992404512479</v>
      </c>
      <c r="K9" s="17"/>
    </row>
    <row r="10" spans="1:11" ht="18.75" customHeight="1">
      <c r="A10" s="3" t="s">
        <v>20</v>
      </c>
      <c r="B10" s="22">
        <v>0</v>
      </c>
      <c r="E10" s="3" t="s">
        <v>20</v>
      </c>
      <c r="F10" s="22">
        <f>'[3]P&amp;L Quarterly'!J7*3.67</f>
        <v>-15947.935682540023</v>
      </c>
      <c r="I10" s="14" t="s">
        <v>20</v>
      </c>
      <c r="J10" s="27">
        <f>B10+F10</f>
        <v>-15947.935682540023</v>
      </c>
    </row>
    <row r="11" spans="1:11" ht="18.75" customHeight="1">
      <c r="A11" s="3" t="s">
        <v>4</v>
      </c>
      <c r="B11" s="22">
        <f>'[19]P&amp;L Quarter'!G8/0.01764</f>
        <v>36869.702380952382</v>
      </c>
      <c r="E11" s="3" t="s">
        <v>4</v>
      </c>
      <c r="F11" s="22">
        <f>'[3]P&amp;L Quarterly'!J8*3.67</f>
        <v>0</v>
      </c>
      <c r="I11" s="14" t="s">
        <v>4</v>
      </c>
      <c r="J11" s="27">
        <f>B11+F11</f>
        <v>36869.702380952382</v>
      </c>
    </row>
    <row r="12" spans="1:11" ht="18.75" customHeight="1">
      <c r="A12" s="5" t="s">
        <v>5</v>
      </c>
      <c r="B12" s="23">
        <f>'[19]P&amp;L Quarter'!G9/0.01764</f>
        <v>36869.702380952382</v>
      </c>
      <c r="E12" s="5" t="s">
        <v>14</v>
      </c>
      <c r="F12" s="23">
        <f>'[3]P&amp;L Quarterly'!J9*3.67</f>
        <v>-15947.935682540023</v>
      </c>
      <c r="I12" s="11" t="s">
        <v>5</v>
      </c>
      <c r="J12" s="28">
        <f>F12+B12</f>
        <v>20921.766698412357</v>
      </c>
    </row>
    <row r="13" spans="1:11" ht="18.75" customHeight="1">
      <c r="A13" s="5" t="s">
        <v>6</v>
      </c>
      <c r="B13" s="23">
        <f>'[19]P&amp;L Quarter'!G10/0.01764</f>
        <v>3029.2006802721089</v>
      </c>
      <c r="E13" s="5" t="s">
        <v>15</v>
      </c>
      <c r="F13" s="23">
        <f>'[3]P&amp;L Quarterly'!J10*3.67</f>
        <v>314.5924</v>
      </c>
      <c r="I13" s="11" t="s">
        <v>6</v>
      </c>
      <c r="J13" s="28">
        <f>F13+B13</f>
        <v>3343.7930802721089</v>
      </c>
      <c r="K13" s="17"/>
    </row>
    <row r="14" spans="1:11" ht="18.75" customHeight="1">
      <c r="A14" s="6" t="s">
        <v>7</v>
      </c>
      <c r="B14" s="24">
        <f>'[19]P&amp;L Quarter'!G11/0.01764</f>
        <v>94172.942365736963</v>
      </c>
      <c r="C14" s="20">
        <f>B14/(20000000/17.64)</f>
        <v>8.3060535166580005E-2</v>
      </c>
      <c r="E14" s="6" t="s">
        <v>7</v>
      </c>
      <c r="F14" s="24">
        <f>'[3]P&amp;L Quarterly'!J11*3.67</f>
        <v>-11732.390182540019</v>
      </c>
      <c r="G14" s="7">
        <f>F14/(129967.82*3.67)</f>
        <v>-2.4597139214922625E-2</v>
      </c>
      <c r="H14" s="8"/>
      <c r="I14" s="12" t="s">
        <v>7</v>
      </c>
      <c r="J14" s="29">
        <f>J9+J12+J13</f>
        <v>82440.552183196953</v>
      </c>
      <c r="K14" s="18">
        <f>J14/((129967.82*3.67)+(20000000/17.59))</f>
        <v>5.1078676012279806E-2</v>
      </c>
    </row>
    <row r="15" spans="1:11" ht="18.75" customHeight="1">
      <c r="A15" s="9" t="s">
        <v>8</v>
      </c>
      <c r="B15" s="22"/>
      <c r="C15" s="21"/>
      <c r="E15" s="9" t="s">
        <v>8</v>
      </c>
      <c r="F15" s="22">
        <f>'[3]P&amp;L Quarterly'!J12*3.67</f>
        <v>0</v>
      </c>
      <c r="H15" s="8"/>
      <c r="I15" s="13" t="s">
        <v>8</v>
      </c>
      <c r="J15" s="27"/>
      <c r="K15" s="17"/>
    </row>
    <row r="16" spans="1:11" ht="18.75" customHeight="1">
      <c r="A16" s="3" t="s">
        <v>9</v>
      </c>
      <c r="B16" s="22">
        <f>'[19]P&amp;L Quarter'!G13/0.01764</f>
        <v>-10027.791802721082</v>
      </c>
      <c r="C16" s="21"/>
      <c r="E16" s="3" t="s">
        <v>9</v>
      </c>
      <c r="F16" s="22">
        <f>'[3]P&amp;L Quarterly'!J13*3.67</f>
        <v>-10536.637788519029</v>
      </c>
      <c r="I16" s="14" t="s">
        <v>9</v>
      </c>
      <c r="J16" s="27">
        <f>F16+B16</f>
        <v>-20564.42959124011</v>
      </c>
      <c r="K16" s="17"/>
    </row>
    <row r="17" spans="1:11" ht="18.75" customHeight="1">
      <c r="A17" s="3" t="s">
        <v>21</v>
      </c>
      <c r="B17" s="22">
        <v>0</v>
      </c>
      <c r="C17" s="21"/>
      <c r="E17" s="3" t="s">
        <v>21</v>
      </c>
      <c r="F17" s="22">
        <f>'[3]P&amp;L Quarterly'!J14*3.67</f>
        <v>0</v>
      </c>
      <c r="I17" s="14" t="s">
        <v>21</v>
      </c>
      <c r="J17" s="27">
        <v>-30000</v>
      </c>
    </row>
    <row r="18" spans="1:11" ht="18.75" customHeight="1">
      <c r="A18" s="3" t="s">
        <v>10</v>
      </c>
      <c r="B18" s="22">
        <f>'[19]P&amp;L Quarter'!G15/0.01764</f>
        <v>-977.89115646258506</v>
      </c>
      <c r="C18" s="21"/>
      <c r="E18" s="3" t="s">
        <v>10</v>
      </c>
      <c r="F18" s="22">
        <f>'[3]P&amp;L Quarterly'!J15*3.67</f>
        <v>-91.75</v>
      </c>
      <c r="I18" s="14" t="s">
        <v>10</v>
      </c>
      <c r="J18" s="27">
        <f>F18+B18</f>
        <v>-1069.6411564625851</v>
      </c>
    </row>
    <row r="19" spans="1:11" ht="18.75" customHeight="1">
      <c r="A19" s="6" t="s">
        <v>11</v>
      </c>
      <c r="B19" s="24">
        <f>'[19]P&amp;L Quarter'!G16/0.01764</f>
        <v>-11005.682959183667</v>
      </c>
      <c r="C19" s="21"/>
      <c r="E19" s="6" t="s">
        <v>11</v>
      </c>
      <c r="F19" s="24">
        <f>'[3]P&amp;L Quarterly'!J16*3.67</f>
        <v>-10628.387788519029</v>
      </c>
      <c r="I19" s="12" t="s">
        <v>11</v>
      </c>
      <c r="J19" s="29">
        <f>SUM(J16:J18)</f>
        <v>-51634.070747702703</v>
      </c>
      <c r="K19" s="17"/>
    </row>
    <row r="20" spans="1:11" ht="18.75" customHeight="1">
      <c r="A20" s="19" t="s">
        <v>12</v>
      </c>
      <c r="B20" s="25">
        <v>0</v>
      </c>
      <c r="C20" s="20"/>
      <c r="E20" s="19" t="s">
        <v>12</v>
      </c>
      <c r="F20" s="25">
        <v>0</v>
      </c>
      <c r="I20" s="15" t="s">
        <v>12</v>
      </c>
      <c r="J20" s="29">
        <f>('[16]Cash Movement'!$I7/17.64)-('[16]Cash Movement'!$I7/18.168)</f>
        <v>32950.212229321478</v>
      </c>
      <c r="K20" s="18">
        <f>J20/(20000000/17.59)</f>
        <v>2.8979711655688242E-2</v>
      </c>
    </row>
    <row r="21" spans="1:11" ht="18.75" customHeight="1" thickBot="1">
      <c r="A21" s="10" t="s">
        <v>13</v>
      </c>
      <c r="B21" s="26">
        <f>'[19]P&amp;L Quarter'!G18/0.01764</f>
        <v>83167.25940655329</v>
      </c>
      <c r="C21" s="20">
        <f>B21/(20000000/17.64)</f>
        <v>7.3353522796580001E-2</v>
      </c>
      <c r="E21" s="10" t="s">
        <v>13</v>
      </c>
      <c r="F21" s="26">
        <f>'[3]P&amp;L Quarterly'!J17*3.67</f>
        <v>-22360.777971059051</v>
      </c>
      <c r="G21" s="7">
        <f>F21/(129967.82*3.67)</f>
        <v>-4.6879720172163519E-2</v>
      </c>
      <c r="I21" s="16" t="s">
        <v>19</v>
      </c>
      <c r="J21" s="30">
        <f>J14+J19+J20</f>
        <v>63756.693664815728</v>
      </c>
      <c r="K21" s="18">
        <f>J21/((129967.82*3.67)+(20000000/17.59))</f>
        <v>3.9502494986721558E-2</v>
      </c>
    </row>
  </sheetData>
  <mergeCells count="6">
    <mergeCell ref="A2:B2"/>
    <mergeCell ref="E2:F2"/>
    <mergeCell ref="I2:J2"/>
    <mergeCell ref="A4:B5"/>
    <mergeCell ref="E4:F5"/>
    <mergeCell ref="I4:J5"/>
  </mergeCells>
  <phoneticPr fontId="49" type="noConversion"/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5C7E-79AA-41AA-BD6C-AD38206F8990}">
  <dimension ref="A1:K27"/>
  <sheetViews>
    <sheetView tabSelected="1" zoomScale="80" zoomScaleNormal="80" workbookViewId="0">
      <selection activeCell="M19" sqref="M19"/>
    </sheetView>
  </sheetViews>
  <sheetFormatPr defaultRowHeight="15"/>
  <cols>
    <col min="1" max="1" width="29.5703125" bestFit="1" customWidth="1"/>
    <col min="2" max="2" width="20.85546875" customWidth="1"/>
    <col min="4" max="4" width="9.140625" customWidth="1"/>
    <col min="5" max="5" width="29.5703125" bestFit="1" customWidth="1"/>
    <col min="6" max="6" width="18.85546875" customWidth="1"/>
    <col min="9" max="9" width="29.5703125" bestFit="1" customWidth="1"/>
    <col min="10" max="10" width="20.5703125" customWidth="1"/>
    <col min="11" max="11" width="10.140625" bestFit="1" customWidth="1"/>
  </cols>
  <sheetData>
    <row r="1" spans="1:11" ht="18.75" customHeight="1" thickBot="1">
      <c r="A1" s="180" t="s">
        <v>16</v>
      </c>
      <c r="B1" s="181"/>
      <c r="E1" s="180" t="s">
        <v>17</v>
      </c>
      <c r="F1" s="181"/>
      <c r="I1" s="182" t="s">
        <v>18</v>
      </c>
      <c r="J1" s="183"/>
    </row>
    <row r="2" spans="1:11" ht="7.5" customHeight="1" thickBot="1"/>
    <row r="3" spans="1:11" ht="15" customHeight="1">
      <c r="A3" s="168" t="s">
        <v>43</v>
      </c>
      <c r="B3" s="169"/>
      <c r="E3" s="168" t="s">
        <v>43</v>
      </c>
      <c r="F3" s="169"/>
      <c r="I3" s="168" t="s">
        <v>43</v>
      </c>
      <c r="J3" s="169"/>
    </row>
    <row r="4" spans="1:11" ht="31.5" customHeight="1">
      <c r="A4" s="170"/>
      <c r="B4" s="171"/>
      <c r="E4" s="170"/>
      <c r="F4" s="171"/>
      <c r="I4" s="170"/>
      <c r="J4" s="171"/>
    </row>
    <row r="5" spans="1:11" ht="18.75" customHeight="1">
      <c r="A5" s="1" t="s">
        <v>0</v>
      </c>
      <c r="B5" s="2"/>
      <c r="E5" s="1" t="s">
        <v>0</v>
      </c>
      <c r="F5" s="2"/>
      <c r="I5" s="1" t="s">
        <v>0</v>
      </c>
      <c r="J5" s="2"/>
    </row>
    <row r="6" spans="1:11" ht="18.75" customHeight="1">
      <c r="A6" s="3" t="s">
        <v>1</v>
      </c>
      <c r="B6" s="22">
        <f>'[1]P&amp;L Yearly'!B4/0.01739</f>
        <v>124656.14128234617</v>
      </c>
      <c r="E6" s="3" t="s">
        <v>1</v>
      </c>
      <c r="F6" s="22">
        <f>'[2]P&amp;L Yearly'!B4*3.67</f>
        <v>21165.477199999998</v>
      </c>
      <c r="I6" s="14" t="s">
        <v>1</v>
      </c>
      <c r="J6" s="27">
        <f>F6+B6</f>
        <v>145821.61848234618</v>
      </c>
    </row>
    <row r="7" spans="1:11" s="113" customFormat="1" ht="18.75" customHeight="1">
      <c r="A7" s="116" t="s">
        <v>37</v>
      </c>
      <c r="B7" s="117">
        <f>'[1]P&amp;L Yearly'!B5/0.01739</f>
        <v>40091.564117308786</v>
      </c>
      <c r="E7" s="116" t="s">
        <v>37</v>
      </c>
      <c r="F7" s="117">
        <f>'[2]P&amp;L Yearly'!B5*3.67</f>
        <v>0</v>
      </c>
      <c r="I7" s="118" t="s">
        <v>37</v>
      </c>
      <c r="J7" s="119">
        <f>F7+B7</f>
        <v>40091.564117308786</v>
      </c>
    </row>
    <row r="8" spans="1:11" s="113" customFormat="1" ht="18.75" customHeight="1">
      <c r="A8" s="3" t="s">
        <v>40</v>
      </c>
      <c r="B8" s="117">
        <f>'[1]P&amp;L Yearly'!B6/0.01739</f>
        <v>-2480.9143185738885</v>
      </c>
      <c r="E8" s="3" t="s">
        <v>40</v>
      </c>
      <c r="F8" s="117">
        <f>'[2]P&amp;L Yearly'!B6*3.67</f>
        <v>0</v>
      </c>
      <c r="I8" s="14" t="s">
        <v>40</v>
      </c>
      <c r="J8" s="119">
        <f>F8+B8</f>
        <v>-2480.9143185738885</v>
      </c>
    </row>
    <row r="9" spans="1:11" ht="18.75" customHeight="1">
      <c r="A9" s="3" t="s">
        <v>2</v>
      </c>
      <c r="B9" s="22">
        <f>'[1]P&amp;L Yearly'!B7/0.01739</f>
        <v>4306.7394733524879</v>
      </c>
      <c r="E9" s="3" t="s">
        <v>2</v>
      </c>
      <c r="F9" s="22">
        <f>'[2]P&amp;L Yearly'!B7*3.67</f>
        <v>0</v>
      </c>
      <c r="I9" s="14" t="s">
        <v>2</v>
      </c>
      <c r="J9" s="27">
        <f>F9+B9</f>
        <v>4306.7394733524879</v>
      </c>
    </row>
    <row r="10" spans="1:11" ht="18.75" customHeight="1">
      <c r="A10" s="5" t="s">
        <v>3</v>
      </c>
      <c r="B10" s="23">
        <f>'[1]P&amp;L Yearly'!B8/0.01739</f>
        <v>166573.53055443356</v>
      </c>
      <c r="E10" s="5" t="s">
        <v>3</v>
      </c>
      <c r="F10" s="23">
        <f>'[2]P&amp;L Yearly'!B8*3.67</f>
        <v>21165.477199999998</v>
      </c>
      <c r="I10" s="11" t="s">
        <v>3</v>
      </c>
      <c r="J10" s="28">
        <f>SUM(J6:J9)</f>
        <v>187739.00775443358</v>
      </c>
      <c r="K10" s="17"/>
    </row>
    <row r="11" spans="1:11" ht="18.75" customHeight="1">
      <c r="A11" s="3" t="s">
        <v>20</v>
      </c>
      <c r="B11" s="22">
        <f>'[1]P&amp;L Yearly'!B9/0.01739</f>
        <v>0</v>
      </c>
      <c r="E11" s="3" t="s">
        <v>20</v>
      </c>
      <c r="F11" s="22">
        <f>'[2]P&amp;L Yearly'!B9*3.67</f>
        <v>-15947.935682540023</v>
      </c>
      <c r="I11" s="14" t="s">
        <v>20</v>
      </c>
      <c r="J11" s="27">
        <f>B11+F11</f>
        <v>-15947.935682540023</v>
      </c>
    </row>
    <row r="12" spans="1:11" ht="18.75" customHeight="1">
      <c r="A12" s="3" t="s">
        <v>4</v>
      </c>
      <c r="B12" s="22">
        <f>'[1]P&amp;L Yearly'!B10/0.01739</f>
        <v>211781.33427832086</v>
      </c>
      <c r="E12" s="3" t="s">
        <v>4</v>
      </c>
      <c r="F12" s="22">
        <f>'[2]P&amp;L Yearly'!B10*3.67</f>
        <v>51206.629915649981</v>
      </c>
      <c r="I12" s="14" t="s">
        <v>4</v>
      </c>
      <c r="J12" s="27">
        <f>B12+F12</f>
        <v>262987.96419397084</v>
      </c>
    </row>
    <row r="13" spans="1:11" ht="18.75" customHeight="1">
      <c r="A13" s="5" t="s">
        <v>5</v>
      </c>
      <c r="B13" s="23">
        <f>'[1]P&amp;L Yearly'!B11/0.01739</f>
        <v>211781.33427832086</v>
      </c>
      <c r="E13" s="5" t="s">
        <v>14</v>
      </c>
      <c r="F13" s="23">
        <f>'[2]P&amp;L Yearly'!B11*3.67</f>
        <v>35258.694233109964</v>
      </c>
      <c r="I13" s="11" t="s">
        <v>5</v>
      </c>
      <c r="J13" s="28">
        <f>F13+B13</f>
        <v>247040.02851143084</v>
      </c>
    </row>
    <row r="14" spans="1:11" ht="18.75" customHeight="1">
      <c r="A14" s="5" t="s">
        <v>6</v>
      </c>
      <c r="B14" s="23">
        <f>'[1]P&amp;L Yearly'!B12/0.01739</f>
        <v>14612.566417481314</v>
      </c>
      <c r="E14" s="5" t="s">
        <v>15</v>
      </c>
      <c r="F14" s="23">
        <f>'[2]P&amp;L Yearly'!B12*3.67</f>
        <v>2876.9864000000002</v>
      </c>
      <c r="I14" s="11" t="s">
        <v>6</v>
      </c>
      <c r="J14" s="28">
        <f>F14+B14</f>
        <v>17489.552817481315</v>
      </c>
      <c r="K14" s="17"/>
    </row>
    <row r="15" spans="1:11" ht="18.75" customHeight="1">
      <c r="A15" s="6" t="s">
        <v>7</v>
      </c>
      <c r="B15" s="24">
        <f>'[1]P&amp;L Yearly'!B13/0.01739</f>
        <v>392967.43125023571</v>
      </c>
      <c r="C15" s="20">
        <f>B15/(30000000/17.39)</f>
        <v>0.22779012098138665</v>
      </c>
      <c r="E15" s="6" t="s">
        <v>7</v>
      </c>
      <c r="F15" s="24">
        <f>'[2]P&amp;L Yearly'!B13*3.67</f>
        <v>59301.157833109959</v>
      </c>
      <c r="G15" s="32">
        <f>F15/(199960.64*3.67)</f>
        <v>8.0807671114675308E-2</v>
      </c>
      <c r="I15" s="12" t="s">
        <v>7</v>
      </c>
      <c r="J15" s="29">
        <f>J10+J13+J14</f>
        <v>452268.58908334572</v>
      </c>
      <c r="K15" s="18">
        <f>J15/((199960.64*3.67)+(30000000/17.39))</f>
        <v>0.18392491264226654</v>
      </c>
    </row>
    <row r="16" spans="1:11" ht="18.75" customHeight="1">
      <c r="A16" s="9" t="s">
        <v>8</v>
      </c>
      <c r="B16" s="22"/>
      <c r="C16" s="40"/>
      <c r="E16" s="9" t="s">
        <v>8</v>
      </c>
      <c r="F16" s="22"/>
      <c r="G16" s="33"/>
      <c r="I16" s="13" t="s">
        <v>8</v>
      </c>
      <c r="J16" s="27"/>
      <c r="K16" s="41"/>
    </row>
    <row r="17" spans="1:11" ht="18.75" customHeight="1">
      <c r="A17" s="3" t="s">
        <v>9</v>
      </c>
      <c r="B17" s="22">
        <f>'[1]P&amp;L Yearly'!B15/0.01739</f>
        <v>-78409.361880390978</v>
      </c>
      <c r="C17" s="40"/>
      <c r="E17" s="3" t="s">
        <v>9</v>
      </c>
      <c r="F17" s="22">
        <f>'[2]P&amp;L Yearly'!B15*3.67</f>
        <v>-13380.815104169027</v>
      </c>
      <c r="G17" s="33"/>
      <c r="I17" s="14" t="s">
        <v>9</v>
      </c>
      <c r="J17" s="27">
        <f>F17+B17</f>
        <v>-91790.176984560007</v>
      </c>
      <c r="K17" s="41"/>
    </row>
    <row r="18" spans="1:11" ht="18.75" customHeight="1">
      <c r="A18" s="3" t="s">
        <v>10</v>
      </c>
      <c r="B18" s="22">
        <f>'[1]P&amp;L Yearly'!B16/0.01739</f>
        <v>-7777.4583093732035</v>
      </c>
      <c r="C18" s="40"/>
      <c r="E18" s="3" t="s">
        <v>10</v>
      </c>
      <c r="F18" s="22">
        <f>'[2]P&amp;L Yearly'!B16*3.67</f>
        <v>-236.2012</v>
      </c>
      <c r="G18" s="33"/>
      <c r="I18" s="14" t="s">
        <v>10</v>
      </c>
      <c r="J18" s="27">
        <f>F18+B18</f>
        <v>-8013.6595093732039</v>
      </c>
      <c r="K18" s="33"/>
    </row>
    <row r="19" spans="1:11" ht="18.75" customHeight="1">
      <c r="A19" s="6" t="s">
        <v>11</v>
      </c>
      <c r="B19" s="24">
        <f>'[1]P&amp;L Yearly'!B17/0.01739</f>
        <v>-86186.820189764185</v>
      </c>
      <c r="C19" s="40"/>
      <c r="E19" s="6" t="s">
        <v>11</v>
      </c>
      <c r="F19" s="24">
        <f>'[2]P&amp;L Yearly'!B17*3.67</f>
        <v>-13617.016304169028</v>
      </c>
      <c r="G19" s="33"/>
      <c r="I19" s="12" t="s">
        <v>11</v>
      </c>
      <c r="J19" s="29">
        <f>SUM(J17:J18)</f>
        <v>-99803.83649393321</v>
      </c>
      <c r="K19" s="41"/>
    </row>
    <row r="20" spans="1:11" ht="18.75" customHeight="1">
      <c r="A20" s="19" t="s">
        <v>30</v>
      </c>
      <c r="B20" s="38">
        <f>'[1]P&amp;L Yearly'!B18/0.01739</f>
        <v>306780.61106047151</v>
      </c>
      <c r="C20" s="20">
        <f>B20/(30000000/17.39)</f>
        <v>0.17783049421138666</v>
      </c>
      <c r="E20" s="19" t="s">
        <v>30</v>
      </c>
      <c r="F20" s="38">
        <f>'[2]P&amp;L Yearly'!B18*3.67</f>
        <v>45684.141528940927</v>
      </c>
      <c r="G20" s="32">
        <f>F20/(199960.64*3.67)</f>
        <v>6.2252226073160583E-2</v>
      </c>
      <c r="I20" s="37" t="s">
        <v>27</v>
      </c>
      <c r="J20" s="38">
        <f>J15+J19</f>
        <v>352464.7525894125</v>
      </c>
      <c r="K20" s="18">
        <f>J20/((199960.64*3.67)+(30000000/17.39))</f>
        <v>0.14333749987120864</v>
      </c>
    </row>
    <row r="21" spans="1:11" ht="17.25">
      <c r="A21" s="19"/>
      <c r="B21" s="38"/>
      <c r="C21" s="20"/>
      <c r="E21" s="19"/>
      <c r="F21" s="38"/>
      <c r="G21" s="32"/>
      <c r="I21" s="37"/>
      <c r="J21" s="38"/>
      <c r="K21" s="31"/>
    </row>
    <row r="22" spans="1:11" ht="18.75" customHeight="1">
      <c r="A22" s="37" t="s">
        <v>44</v>
      </c>
      <c r="B22" s="38">
        <v>0</v>
      </c>
      <c r="E22" s="37" t="s">
        <v>44</v>
      </c>
      <c r="F22" s="38">
        <f>'October-17'!F22+'November-17'!F22+'December-17'!F22</f>
        <v>0</v>
      </c>
      <c r="I22" s="37" t="s">
        <v>44</v>
      </c>
      <c r="J22" s="38">
        <f>'Q1 - Jan to Mar''17'!J17+'Q2 - Apr to Jun''17'!J17+'Q3 - Jul to Sept''17'!J21+'Q4 - Oct to Dec''17'!J22</f>
        <v>-136435.17969573278</v>
      </c>
    </row>
    <row r="23" spans="1:11" ht="18" thickBot="1">
      <c r="A23" s="10" t="s">
        <v>13</v>
      </c>
      <c r="B23" s="26">
        <f>B20</f>
        <v>306780.61106047151</v>
      </c>
      <c r="C23" s="20">
        <f>B23/(30000000/17.39)</f>
        <v>0.17783049421138666</v>
      </c>
      <c r="E23" s="10" t="s">
        <v>13</v>
      </c>
      <c r="F23" s="26">
        <f>F20</f>
        <v>45684.141528940927</v>
      </c>
      <c r="G23" s="32">
        <f>F23/(199960.64*3.67)</f>
        <v>6.2252226073160583E-2</v>
      </c>
      <c r="I23" s="16" t="s">
        <v>13</v>
      </c>
      <c r="J23" s="30">
        <f>J20+J22</f>
        <v>216029.57289367972</v>
      </c>
      <c r="K23" s="18">
        <f>J23/((199960.64*3.67)+(30000000/17.39))</f>
        <v>8.7853150277686018E-2</v>
      </c>
    </row>
    <row r="24" spans="1:11" ht="18" thickBot="1">
      <c r="A24" s="160"/>
      <c r="B24" s="161"/>
      <c r="C24" s="20"/>
      <c r="E24" s="160"/>
      <c r="F24" s="161">
        <f>'October-17'!F24+'November-17'!F24+'December-17'!F24</f>
        <v>0</v>
      </c>
      <c r="G24" s="32"/>
      <c r="I24" s="162"/>
      <c r="J24" s="163"/>
      <c r="K24" s="18"/>
    </row>
    <row r="25" spans="1:11">
      <c r="A25" s="110" t="s">
        <v>33</v>
      </c>
      <c r="B25" s="111">
        <f>'[1]P&amp;L Yearly'!$B$19/0.01739</f>
        <v>157849.33870040253</v>
      </c>
      <c r="E25" s="110" t="s">
        <v>33</v>
      </c>
      <c r="F25" s="111">
        <f>'[2]P&amp;L Yearly'!B19*3.67</f>
        <v>77070</v>
      </c>
      <c r="I25" s="110" t="s">
        <v>33</v>
      </c>
      <c r="J25" s="111">
        <f>F25+B25</f>
        <v>234919.33870040253</v>
      </c>
    </row>
    <row r="26" spans="1:11" ht="18" thickBot="1">
      <c r="A26" s="10" t="s">
        <v>34</v>
      </c>
      <c r="B26" s="26">
        <f>'[1]P&amp;L Yearly'!$B$20/0.01739</f>
        <v>148931.27236006895</v>
      </c>
      <c r="C26" s="154">
        <f>B26/B25</f>
        <v>0.94350266897690316</v>
      </c>
      <c r="E26" s="10" t="s">
        <v>34</v>
      </c>
      <c r="F26" s="26">
        <f>'[2]P&amp;L Yearly'!B20*3.67</f>
        <v>-31385.858471059069</v>
      </c>
      <c r="G26" s="7">
        <f>F26/F25</f>
        <v>-0.40723833490410105</v>
      </c>
      <c r="I26" s="10" t="s">
        <v>34</v>
      </c>
      <c r="J26" s="26">
        <f>J23-J25</f>
        <v>-18889.765806722804</v>
      </c>
      <c r="K26" s="31">
        <f>J26/J25</f>
        <v>-8.0409581906806374E-2</v>
      </c>
    </row>
    <row r="27" spans="1:11" ht="17.25">
      <c r="A27" s="6" t="s">
        <v>12</v>
      </c>
      <c r="B27" s="24">
        <f>'October-17'!B28+'November-17'!B28+'December-17'!B27</f>
        <v>48089.925466777291</v>
      </c>
      <c r="C27" s="32">
        <f>B27/((30000000/17.39))</f>
        <v>2.7876126795575239E-2</v>
      </c>
      <c r="E27" s="6" t="s">
        <v>12</v>
      </c>
      <c r="F27" s="24">
        <f>'October-17'!F27+'November-17'!F27+'December-17'!F27</f>
        <v>0</v>
      </c>
      <c r="I27" s="39" t="s">
        <v>12</v>
      </c>
      <c r="J27" s="29">
        <f>(30000000/17.39)-((20000000/18.168)+(10000000/17.355))</f>
        <v>48089.925466777291</v>
      </c>
      <c r="K27" s="32">
        <f>J27/((30000000/17.39)+(199960.64*3.67))</f>
        <v>1.955681989407437E-2</v>
      </c>
    </row>
  </sheetData>
  <mergeCells count="6">
    <mergeCell ref="A1:B1"/>
    <mergeCell ref="E1:F1"/>
    <mergeCell ref="I1:J1"/>
    <mergeCell ref="A3:B4"/>
    <mergeCell ref="E3:F4"/>
    <mergeCell ref="I3:J4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"/>
  <sheetViews>
    <sheetView zoomScale="80" zoomScaleNormal="80" workbookViewId="0">
      <selection activeCell="B21" sqref="B21"/>
    </sheetView>
  </sheetViews>
  <sheetFormatPr defaultRowHeight="15"/>
  <cols>
    <col min="1" max="1" width="26.7109375" customWidth="1"/>
    <col min="2" max="2" width="20.85546875" customWidth="1"/>
    <col min="4" max="4" width="9.140625" customWidth="1"/>
    <col min="5" max="5" width="27.140625" bestFit="1" customWidth="1"/>
    <col min="6" max="6" width="18.85546875" customWidth="1"/>
    <col min="9" max="9" width="27.140625" bestFit="1" customWidth="1"/>
    <col min="10" max="10" width="20.5703125" customWidth="1"/>
    <col min="11" max="11" width="9.5703125" bestFit="1" customWidth="1"/>
  </cols>
  <sheetData>
    <row r="1" spans="1:11" ht="15.75" thickBot="1"/>
    <row r="2" spans="1:11" ht="23.25" thickBot="1">
      <c r="A2" s="180" t="s">
        <v>16</v>
      </c>
      <c r="B2" s="181"/>
      <c r="E2" s="180" t="s">
        <v>17</v>
      </c>
      <c r="F2" s="181"/>
      <c r="I2" s="182" t="s">
        <v>18</v>
      </c>
      <c r="J2" s="183"/>
    </row>
    <row r="3" spans="1:11" ht="7.5" customHeight="1" thickBot="1"/>
    <row r="4" spans="1:11" ht="15" customHeight="1">
      <c r="A4" s="168" t="s">
        <v>24</v>
      </c>
      <c r="B4" s="169"/>
      <c r="E4" s="168" t="s">
        <v>24</v>
      </c>
      <c r="F4" s="169"/>
      <c r="I4" s="168" t="s">
        <v>24</v>
      </c>
      <c r="J4" s="169"/>
    </row>
    <row r="5" spans="1:11" ht="66" customHeight="1">
      <c r="A5" s="170"/>
      <c r="B5" s="171"/>
      <c r="E5" s="170"/>
      <c r="F5" s="171"/>
      <c r="I5" s="170"/>
      <c r="J5" s="171"/>
    </row>
    <row r="6" spans="1:11" ht="18.75" customHeight="1">
      <c r="A6" s="1" t="s">
        <v>0</v>
      </c>
      <c r="B6" s="2"/>
      <c r="E6" s="1" t="s">
        <v>0</v>
      </c>
      <c r="F6" s="2"/>
      <c r="I6" s="1" t="s">
        <v>0</v>
      </c>
      <c r="J6" s="2"/>
    </row>
    <row r="7" spans="1:11" ht="18.75" customHeight="1">
      <c r="A7" s="3" t="s">
        <v>1</v>
      </c>
      <c r="B7" s="22">
        <f>'[19]P&amp;L Quarter'!L4/0.0185</f>
        <v>-26760.848648648633</v>
      </c>
      <c r="E7" s="3" t="s">
        <v>1</v>
      </c>
      <c r="F7" s="22">
        <v>0</v>
      </c>
      <c r="I7" s="14" t="s">
        <v>1</v>
      </c>
      <c r="J7" s="27">
        <f>F7+B7</f>
        <v>-26760.848648648633</v>
      </c>
    </row>
    <row r="8" spans="1:11" ht="18.75" customHeight="1">
      <c r="A8" s="3" t="s">
        <v>2</v>
      </c>
      <c r="B8" s="22">
        <f>'[19]P&amp;L Quarter'!L5/0.0185</f>
        <v>-14832.530433362173</v>
      </c>
      <c r="E8" s="3" t="s">
        <v>2</v>
      </c>
      <c r="F8" s="22">
        <v>0</v>
      </c>
      <c r="I8" s="14" t="s">
        <v>2</v>
      </c>
      <c r="J8" s="27">
        <f>F8+B8</f>
        <v>-14832.530433362173</v>
      </c>
    </row>
    <row r="9" spans="1:11" ht="18.75" customHeight="1">
      <c r="A9" s="5" t="s">
        <v>3</v>
      </c>
      <c r="B9" s="23">
        <f>'[19]P&amp;L Quarter'!L6/0.0185</f>
        <v>-41593.379082010812</v>
      </c>
      <c r="E9" s="5" t="s">
        <v>3</v>
      </c>
      <c r="F9" s="23">
        <v>0</v>
      </c>
      <c r="I9" s="11" t="s">
        <v>3</v>
      </c>
      <c r="J9" s="28">
        <f>SUM(J7:J8)</f>
        <v>-41593.379082010804</v>
      </c>
      <c r="K9" s="17"/>
    </row>
    <row r="10" spans="1:11" ht="18.75" customHeight="1">
      <c r="A10" s="3" t="s">
        <v>20</v>
      </c>
      <c r="B10" s="22">
        <v>0</v>
      </c>
      <c r="E10" s="3" t="s">
        <v>20</v>
      </c>
      <c r="F10" s="22">
        <v>0</v>
      </c>
      <c r="I10" s="14" t="s">
        <v>20</v>
      </c>
      <c r="J10" s="27">
        <f>B10+F10</f>
        <v>0</v>
      </c>
    </row>
    <row r="11" spans="1:11" ht="18.75" customHeight="1">
      <c r="A11" s="3" t="s">
        <v>4</v>
      </c>
      <c r="B11" s="22">
        <f>'[19]P&amp;L Quarter'!L8/0.0185</f>
        <v>-3424.6150540540475</v>
      </c>
      <c r="E11" s="3" t="s">
        <v>4</v>
      </c>
      <c r="F11" s="22">
        <v>0</v>
      </c>
      <c r="I11" s="14" t="s">
        <v>4</v>
      </c>
      <c r="J11" s="27">
        <f>B11+F11</f>
        <v>-3424.6150540540475</v>
      </c>
    </row>
    <row r="12" spans="1:11" ht="18.75" customHeight="1">
      <c r="A12" s="5" t="s">
        <v>5</v>
      </c>
      <c r="B12" s="23">
        <f>'[19]P&amp;L Quarter'!L9/0.0185</f>
        <v>-3424.6150540540475</v>
      </c>
      <c r="E12" s="5" t="s">
        <v>14</v>
      </c>
      <c r="F12" s="23">
        <v>0</v>
      </c>
      <c r="I12" s="11" t="s">
        <v>5</v>
      </c>
      <c r="J12" s="28">
        <f>F12+B12</f>
        <v>-3424.6150540540475</v>
      </c>
    </row>
    <row r="13" spans="1:11" ht="18.75" customHeight="1">
      <c r="A13" s="5" t="s">
        <v>6</v>
      </c>
      <c r="B13" s="23">
        <f>'[19]P&amp;L Quarter'!L10/0.0185</f>
        <v>1522.7594594594595</v>
      </c>
      <c r="E13" s="5" t="s">
        <v>15</v>
      </c>
      <c r="F13" s="23">
        <v>0</v>
      </c>
      <c r="I13" s="11" t="s">
        <v>6</v>
      </c>
      <c r="J13" s="28">
        <f>F13+B13</f>
        <v>1522.7594594594595</v>
      </c>
      <c r="K13" s="17"/>
    </row>
    <row r="14" spans="1:11" ht="18.75" customHeight="1">
      <c r="A14" s="6" t="s">
        <v>7</v>
      </c>
      <c r="B14" s="24">
        <f>'[19]P&amp;L Quarter'!L11/0.0185</f>
        <v>-43495.234676605396</v>
      </c>
      <c r="C14" s="34">
        <f>B14/(20000000/18.5)</f>
        <v>-4.023309207585999E-2</v>
      </c>
      <c r="E14" s="6" t="s">
        <v>7</v>
      </c>
      <c r="F14" s="24">
        <v>0</v>
      </c>
      <c r="G14" s="32">
        <f>F14/(299960.64*3.67)</f>
        <v>0</v>
      </c>
      <c r="I14" s="12" t="s">
        <v>7</v>
      </c>
      <c r="J14" s="29">
        <f>J9+J12+J13</f>
        <v>-43495.234676605389</v>
      </c>
      <c r="K14" s="31">
        <f>J14/((129967.82*3.67)+(20000000/18.5))</f>
        <v>-2.791622368383043E-2</v>
      </c>
    </row>
    <row r="15" spans="1:11" ht="18.75" customHeight="1">
      <c r="A15" s="9" t="s">
        <v>8</v>
      </c>
      <c r="B15" s="22"/>
      <c r="C15" s="21"/>
      <c r="E15" s="9" t="s">
        <v>8</v>
      </c>
      <c r="F15" s="22"/>
      <c r="I15" s="13" t="s">
        <v>8</v>
      </c>
      <c r="J15" s="27"/>
      <c r="K15" s="35"/>
    </row>
    <row r="16" spans="1:11" ht="18.75" customHeight="1">
      <c r="A16" s="3" t="s">
        <v>9</v>
      </c>
      <c r="B16" s="22">
        <f>'[19]P&amp;L Quarter'!L13/0.0185</f>
        <v>-10955.056059459454</v>
      </c>
      <c r="C16" s="21"/>
      <c r="E16" s="3" t="s">
        <v>9</v>
      </c>
      <c r="F16" s="22">
        <v>0</v>
      </c>
      <c r="I16" s="14" t="s">
        <v>9</v>
      </c>
      <c r="J16" s="27">
        <f>F16+B16</f>
        <v>-10955.056059459454</v>
      </c>
      <c r="K16" s="35"/>
    </row>
    <row r="17" spans="1:11" ht="18.75" customHeight="1">
      <c r="A17" s="3" t="s">
        <v>21</v>
      </c>
      <c r="B17" s="22">
        <v>0</v>
      </c>
      <c r="C17" s="21"/>
      <c r="E17" s="3" t="s">
        <v>21</v>
      </c>
      <c r="F17" s="22">
        <v>0</v>
      </c>
      <c r="I17" s="14" t="s">
        <v>25</v>
      </c>
      <c r="J17" s="27">
        <v>-40000</v>
      </c>
      <c r="K17" s="36"/>
    </row>
    <row r="18" spans="1:11" ht="18.75" customHeight="1">
      <c r="A18" s="3" t="s">
        <v>10</v>
      </c>
      <c r="B18" s="22">
        <f>'[19]P&amp;L Quarter'!L15/0.0185</f>
        <v>0</v>
      </c>
      <c r="C18" s="21"/>
      <c r="E18" s="3" t="s">
        <v>10</v>
      </c>
      <c r="F18" s="22">
        <v>0</v>
      </c>
      <c r="I18" s="14" t="s">
        <v>10</v>
      </c>
      <c r="J18" s="27">
        <f>F18+B18</f>
        <v>0</v>
      </c>
      <c r="K18" s="36"/>
    </row>
    <row r="19" spans="1:11" ht="18.75" customHeight="1">
      <c r="A19" s="6" t="s">
        <v>11</v>
      </c>
      <c r="B19" s="24">
        <f>'[19]P&amp;L Quarter'!L16/0.0185</f>
        <v>-10955.056059459454</v>
      </c>
      <c r="C19" s="21"/>
      <c r="E19" s="6" t="s">
        <v>11</v>
      </c>
      <c r="F19" s="24">
        <v>0</v>
      </c>
      <c r="I19" s="12" t="s">
        <v>11</v>
      </c>
      <c r="J19" s="29">
        <f>SUM(J16:J18)</f>
        <v>-50955.056059459457</v>
      </c>
      <c r="K19" s="35"/>
    </row>
    <row r="20" spans="1:11" ht="18.75" customHeight="1">
      <c r="A20" s="19" t="s">
        <v>12</v>
      </c>
      <c r="B20" s="25">
        <v>0</v>
      </c>
      <c r="C20" s="20"/>
      <c r="E20" s="19" t="s">
        <v>12</v>
      </c>
      <c r="F20" s="25">
        <v>0</v>
      </c>
      <c r="I20" s="15" t="s">
        <v>12</v>
      </c>
      <c r="J20" s="29">
        <f>('[16]Cash Movement'!$I7/18.5)-('[16]Cash Movement'!$I7/18.168)</f>
        <v>-19755.554762159707</v>
      </c>
      <c r="K20" s="31">
        <f>J20/(20000000/17.59)</f>
        <v>-1.7375010413319462E-2</v>
      </c>
    </row>
    <row r="21" spans="1:11" ht="18.75" customHeight="1" thickBot="1">
      <c r="A21" s="10" t="s">
        <v>13</v>
      </c>
      <c r="B21" s="26">
        <f>'[19]P&amp;L Quarter'!L18/0.0185</f>
        <v>-54450.290736064853</v>
      </c>
      <c r="C21" s="34">
        <f>B21/(20000000/18.5)</f>
        <v>-5.0366518930859985E-2</v>
      </c>
      <c r="E21" s="10" t="s">
        <v>13</v>
      </c>
      <c r="F21" s="26">
        <v>0</v>
      </c>
      <c r="G21" s="32">
        <f>F21/(299960.64*3.67)</f>
        <v>0</v>
      </c>
      <c r="I21" s="16" t="s">
        <v>19</v>
      </c>
      <c r="J21" s="30">
        <f>J14+J19+J20</f>
        <v>-114205.84549822455</v>
      </c>
      <c r="K21" s="31">
        <f>J21/((129967.82*3.67)+(20000000/18.5))</f>
        <v>-7.3299890266927042E-2</v>
      </c>
    </row>
  </sheetData>
  <mergeCells count="6">
    <mergeCell ref="A2:B2"/>
    <mergeCell ref="E2:F2"/>
    <mergeCell ref="I2:J2"/>
    <mergeCell ref="A4:B5"/>
    <mergeCell ref="E4:F5"/>
    <mergeCell ref="I4:J5"/>
  </mergeCells>
  <phoneticPr fontId="49" type="noConversion"/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4"/>
  <sheetViews>
    <sheetView zoomScale="80" zoomScaleNormal="80" workbookViewId="0">
      <selection activeCell="P13" sqref="P13"/>
    </sheetView>
  </sheetViews>
  <sheetFormatPr defaultColWidth="9.140625" defaultRowHeight="15"/>
  <cols>
    <col min="1" max="1" width="26.7109375" style="77" customWidth="1"/>
    <col min="2" max="2" width="20.85546875" style="77" customWidth="1"/>
    <col min="3" max="3" width="9.140625" style="77"/>
    <col min="4" max="4" width="9.140625" style="77" customWidth="1"/>
    <col min="5" max="5" width="27.140625" style="77" bestFit="1" customWidth="1"/>
    <col min="6" max="6" width="18.85546875" style="77" customWidth="1"/>
    <col min="7" max="8" width="9.140625" style="77"/>
    <col min="9" max="9" width="29.5703125" style="77" bestFit="1" customWidth="1"/>
    <col min="10" max="10" width="20.5703125" style="77" customWidth="1"/>
    <col min="11" max="12" width="9.140625" style="77" customWidth="1"/>
    <col min="13" max="13" width="9.5703125" style="77" hidden="1" customWidth="1"/>
    <col min="14" max="14" width="9.140625" style="77" hidden="1" customWidth="1"/>
    <col min="15" max="18" width="9.140625" style="77" customWidth="1"/>
    <col min="19" max="16384" width="9.140625" style="77"/>
  </cols>
  <sheetData>
    <row r="1" spans="1:13" ht="18.75" customHeight="1" thickBot="1">
      <c r="A1" s="188" t="s">
        <v>16</v>
      </c>
      <c r="B1" s="189"/>
      <c r="E1" s="188" t="s">
        <v>17</v>
      </c>
      <c r="F1" s="189"/>
      <c r="I1" s="190" t="s">
        <v>18</v>
      </c>
      <c r="J1" s="191"/>
    </row>
    <row r="2" spans="1:13" ht="7.5" customHeight="1" thickBot="1"/>
    <row r="3" spans="1:13" ht="15" customHeight="1">
      <c r="A3" s="168" t="s">
        <v>42</v>
      </c>
      <c r="B3" s="169"/>
      <c r="E3" s="168" t="s">
        <v>42</v>
      </c>
      <c r="F3" s="169"/>
      <c r="I3" s="168" t="s">
        <v>42</v>
      </c>
      <c r="J3" s="169"/>
    </row>
    <row r="4" spans="1:13" ht="32.25" customHeight="1">
      <c r="A4" s="170"/>
      <c r="B4" s="171"/>
      <c r="E4" s="170"/>
      <c r="F4" s="171"/>
      <c r="I4" s="170"/>
      <c r="J4" s="171"/>
    </row>
    <row r="5" spans="1:13" ht="18.75" customHeight="1">
      <c r="A5" s="78" t="s">
        <v>0</v>
      </c>
      <c r="B5" s="79"/>
      <c r="E5" s="78" t="s">
        <v>0</v>
      </c>
      <c r="F5" s="79"/>
      <c r="I5" s="78" t="s">
        <v>0</v>
      </c>
      <c r="J5" s="79"/>
    </row>
    <row r="6" spans="1:13" ht="18.75" customHeight="1">
      <c r="A6" s="80" t="s">
        <v>1</v>
      </c>
      <c r="B6" s="81">
        <f>'[1]P&amp;L Consolidated'!B4/0.01739</f>
        <v>96187.15335825186</v>
      </c>
      <c r="E6" s="80" t="s">
        <v>1</v>
      </c>
      <c r="F6" s="81">
        <f>'[2]P&amp;L'!B4*3.67</f>
        <v>21165.477199999998</v>
      </c>
      <c r="I6" s="82" t="s">
        <v>1</v>
      </c>
      <c r="J6" s="83">
        <f>F6+B6</f>
        <v>117352.63055825185</v>
      </c>
      <c r="M6" s="84">
        <f>'Q3 - Jul to Sept''17'!J7+'Q2 - Apr to Jun''17'!J7+'Q1 - Jan to Mar''17'!J7+'2016'!J7+'Q4 - Oct to Dec''17'!J6</f>
        <v>117560.48967871191</v>
      </c>
    </row>
    <row r="7" spans="1:13" s="113" customFormat="1" ht="18.75" customHeight="1">
      <c r="A7" s="116" t="s">
        <v>37</v>
      </c>
      <c r="B7" s="117">
        <f>'[1]P&amp;L Consolidated'!B5/0.01739</f>
        <v>40091.564117308786</v>
      </c>
      <c r="E7" s="116" t="s">
        <v>37</v>
      </c>
      <c r="F7" s="117">
        <f>'[2]P&amp;L'!B5*3.67</f>
        <v>0</v>
      </c>
      <c r="I7" s="118" t="s">
        <v>37</v>
      </c>
      <c r="J7" s="119">
        <f>F7+B7</f>
        <v>40091.564117308786</v>
      </c>
      <c r="M7" s="153">
        <f>'Q4 - Oct to Dec''17'!J7</f>
        <v>39961.33244071278</v>
      </c>
    </row>
    <row r="8" spans="1:13" s="113" customFormat="1" ht="18.75" customHeight="1">
      <c r="A8" s="116" t="s">
        <v>37</v>
      </c>
      <c r="B8" s="117">
        <f>'[1]P&amp;L Consolidated'!B6/0.01739</f>
        <v>-2480.9143185738885</v>
      </c>
      <c r="E8" s="3" t="s">
        <v>40</v>
      </c>
      <c r="F8" s="117">
        <f>'[2]P&amp;L'!B6*3.67</f>
        <v>0</v>
      </c>
      <c r="I8" s="14" t="s">
        <v>40</v>
      </c>
      <c r="J8" s="119"/>
      <c r="M8" s="153"/>
    </row>
    <row r="9" spans="1:13" ht="18.75" customHeight="1">
      <c r="A9" s="80" t="s">
        <v>2</v>
      </c>
      <c r="B9" s="81">
        <f>'[1]P&amp;L Consolidated'!B7/0.01739</f>
        <v>-11472.548221713654</v>
      </c>
      <c r="E9" s="80" t="s">
        <v>2</v>
      </c>
      <c r="F9" s="81">
        <f>'[2]P&amp;L'!B7*3.67</f>
        <v>0</v>
      </c>
      <c r="I9" s="82" t="s">
        <v>2</v>
      </c>
      <c r="J9" s="83">
        <f>F9+B9</f>
        <v>-11472.548221713654</v>
      </c>
      <c r="M9" s="84">
        <f>'Q3 - Jul to Sept''17'!J8+'Q2 - Apr to Jun''17'!J8+'Q1 - Jan to Mar''17'!J8+'2016'!J8+'Q4 - Oct to Dec''17'!J9</f>
        <v>-10592.338185911489</v>
      </c>
    </row>
    <row r="10" spans="1:13" ht="18.75" customHeight="1">
      <c r="A10" s="85" t="s">
        <v>3</v>
      </c>
      <c r="B10" s="86">
        <f>'[1]P&amp;L Consolidated'!B8/0.01739</f>
        <v>122325.25493527311</v>
      </c>
      <c r="E10" s="85" t="s">
        <v>3</v>
      </c>
      <c r="F10" s="86">
        <f>'[2]P&amp;L'!B8*3.67</f>
        <v>21165.477199999998</v>
      </c>
      <c r="I10" s="87" t="s">
        <v>3</v>
      </c>
      <c r="J10" s="88">
        <f>SUM(J6:J9)</f>
        <v>145971.64645384697</v>
      </c>
      <c r="K10" s="89"/>
      <c r="M10" s="84">
        <f>'Q3 - Jul to Sept''17'!J9+'Q2 - Apr to Jun''17'!J9+'Q1 - Jan to Mar''17'!J9+'2016'!J9+'Q4 - Oct to Dec''17'!J10</f>
        <v>144448.5696149393</v>
      </c>
    </row>
    <row r="11" spans="1:13" ht="18.75" customHeight="1">
      <c r="A11" s="80" t="s">
        <v>20</v>
      </c>
      <c r="B11" s="81">
        <f>'[1]P&amp;L Consolidated'!B9/0.01739</f>
        <v>0</v>
      </c>
      <c r="E11" s="80" t="s">
        <v>20</v>
      </c>
      <c r="F11" s="81">
        <f>'[2]P&amp;L'!B9*3.67</f>
        <v>-15947.935682540023</v>
      </c>
      <c r="I11" s="82" t="s">
        <v>20</v>
      </c>
      <c r="J11" s="83">
        <f>B11+F11</f>
        <v>-15947.935682540023</v>
      </c>
      <c r="M11" s="84">
        <f>'Q3 - Jul to Sept''17'!J10+'Q2 - Apr to Jun''17'!J10+'Q1 - Jan to Mar''17'!J10+'2016'!J10+'Q4 - Oct to Dec''17'!J11</f>
        <v>-15947.935682540023</v>
      </c>
    </row>
    <row r="12" spans="1:13" ht="18.75" customHeight="1">
      <c r="A12" s="80" t="s">
        <v>4</v>
      </c>
      <c r="B12" s="81">
        <f>'[1]P&amp;L Consolidated'!B10/0.01739</f>
        <v>208138.12677400804</v>
      </c>
      <c r="E12" s="80" t="s">
        <v>4</v>
      </c>
      <c r="F12" s="81">
        <f>'[2]P&amp;L'!B10*3.67</f>
        <v>51206.629915649981</v>
      </c>
      <c r="I12" s="82" t="s">
        <v>4</v>
      </c>
      <c r="J12" s="83">
        <f>B12+F12</f>
        <v>259344.75668965801</v>
      </c>
      <c r="M12" s="84">
        <f>'Q3 - Jul to Sept''17'!J11+'Q2 - Apr to Jun''17'!J11+'Q1 - Jan to Mar''17'!J11+'2016'!J11+'Q4 - Oct to Dec''17'!J12</f>
        <v>257447.25231749384</v>
      </c>
    </row>
    <row r="13" spans="1:13" ht="18.75" customHeight="1">
      <c r="A13" s="85" t="s">
        <v>5</v>
      </c>
      <c r="B13" s="86">
        <f>'[1]P&amp;L Consolidated'!B11/0.01739</f>
        <v>208138.12677400804</v>
      </c>
      <c r="E13" s="85" t="s">
        <v>14</v>
      </c>
      <c r="F13" s="86">
        <f>'[2]P&amp;L'!B11*3.67</f>
        <v>35258.694233109964</v>
      </c>
      <c r="I13" s="87" t="s">
        <v>5</v>
      </c>
      <c r="J13" s="88">
        <f>F13+B13</f>
        <v>243396.82100711801</v>
      </c>
      <c r="M13" s="84">
        <f>'Q3 - Jul to Sept''17'!J12+'Q2 - Apr to Jun''17'!J12+'Q1 - Jan to Mar''17'!J12+'2016'!J12+'Q4 - Oct to Dec''17'!J13</f>
        <v>241499.31663495381</v>
      </c>
    </row>
    <row r="14" spans="1:13" ht="18.75" customHeight="1">
      <c r="A14" s="85" t="s">
        <v>6</v>
      </c>
      <c r="B14" s="86">
        <f>'[1]P&amp;L Consolidated'!B12/0.01739</f>
        <v>16232.523289246696</v>
      </c>
      <c r="E14" s="85" t="s">
        <v>15</v>
      </c>
      <c r="F14" s="86">
        <f>'[2]P&amp;L'!B12*3.67</f>
        <v>2876.9864000000002</v>
      </c>
      <c r="I14" s="87" t="s">
        <v>6</v>
      </c>
      <c r="J14" s="88">
        <f>F14+B14</f>
        <v>19109.509689246697</v>
      </c>
      <c r="K14" s="89"/>
      <c r="M14" s="84">
        <f>'Q3 - Jul to Sept''17'!J13+'Q2 - Apr to Jun''17'!J13+'Q1 - Jan to Mar''17'!J13+'2016'!J13+'Q4 - Oct to Dec''17'!J14</f>
        <v>18881.864991985487</v>
      </c>
    </row>
    <row r="15" spans="1:13" ht="18.75" customHeight="1">
      <c r="A15" s="90" t="s">
        <v>7</v>
      </c>
      <c r="B15" s="91">
        <f>'[1]P&amp;L Consolidated'!B13/0.01739</f>
        <v>346695.90499852784</v>
      </c>
      <c r="C15" s="92">
        <f>B15/(30000000/17.39)</f>
        <v>0.20096805959747999</v>
      </c>
      <c r="E15" s="90" t="s">
        <v>7</v>
      </c>
      <c r="F15" s="91">
        <f>'[2]P&amp;L'!B13*3.67</f>
        <v>59301.157833109959</v>
      </c>
      <c r="G15" s="112">
        <f>F15/(199960.64*3.67)</f>
        <v>8.0807671114675308E-2</v>
      </c>
      <c r="I15" s="94" t="s">
        <v>7</v>
      </c>
      <c r="J15" s="95">
        <f>J10+J13+J14</f>
        <v>408477.97715021169</v>
      </c>
      <c r="K15" s="96">
        <f>J15/((199960.64*3.67)+(30000000/17.39))</f>
        <v>0.16611650262051988</v>
      </c>
      <c r="M15" s="84">
        <f>'Q3 - Jul to Sept''17'!J14+'Q2 - Apr to Jun''17'!J14+'Q1 - Jan to Mar''17'!J14+'2016'!J14+'Q4 - Oct to Dec''17'!J15</f>
        <v>404829.75124187861</v>
      </c>
    </row>
    <row r="16" spans="1:13" ht="18.75" customHeight="1">
      <c r="A16" s="97" t="s">
        <v>8</v>
      </c>
      <c r="B16" s="81">
        <f>'[1]P&amp;L Consolidated'!B14/0.01739</f>
        <v>0</v>
      </c>
      <c r="C16" s="98"/>
      <c r="E16" s="97" t="s">
        <v>8</v>
      </c>
      <c r="F16" s="81">
        <f>'[2]P&amp;L'!B14*3.67</f>
        <v>0</v>
      </c>
      <c r="I16" s="99" t="s">
        <v>8</v>
      </c>
      <c r="J16" s="83"/>
      <c r="K16" s="89"/>
      <c r="M16" s="84"/>
    </row>
    <row r="17" spans="1:13" ht="18.75" customHeight="1">
      <c r="A17" s="80" t="s">
        <v>9</v>
      </c>
      <c r="B17" s="81">
        <f>'[1]P&amp;L Consolidated'!B15/0.01739</f>
        <v>-90063.67683726277</v>
      </c>
      <c r="C17" s="98"/>
      <c r="E17" s="80" t="s">
        <v>9</v>
      </c>
      <c r="F17" s="81">
        <f>'[2]P&amp;L'!B15*3.67</f>
        <v>-13380.815104169027</v>
      </c>
      <c r="I17" s="82" t="s">
        <v>9</v>
      </c>
      <c r="J17" s="83">
        <f>F17+B17</f>
        <v>-103444.4919414318</v>
      </c>
      <c r="K17" s="89"/>
      <c r="M17" s="84">
        <f>'Q3 - Jul to Sept''17'!J16+'Q2 - Apr to Jun''17'!J16+'Q1 - Jan to Mar''17'!J16+'2016'!J16+'Q4 - Oct to Dec''17'!J17</f>
        <v>-105274.15307689839</v>
      </c>
    </row>
    <row r="18" spans="1:13" ht="18.75" customHeight="1">
      <c r="A18" s="80" t="s">
        <v>21</v>
      </c>
      <c r="B18" s="81">
        <f>'[1]P&amp;L Consolidated'!B16/0.01739</f>
        <v>0</v>
      </c>
      <c r="C18" s="98"/>
      <c r="E18" s="80" t="s">
        <v>21</v>
      </c>
      <c r="F18" s="81">
        <f>'[2]P&amp;L'!B16*3.67</f>
        <v>0</v>
      </c>
      <c r="I18" s="82" t="s">
        <v>21</v>
      </c>
      <c r="J18" s="83">
        <f>-100000+'Q3 - Jul to Sept''17'!$J$21+'Q4 - Oct to Dec''17'!J22</f>
        <v>-176435.17969573278</v>
      </c>
      <c r="M18" s="84">
        <f>'Q3 - Jul to Sept''17'!J21+'Q2 - Apr to Jun''17'!J17+'Q1 - Jan to Mar''17'!J17+'2016'!J17+'Q4 - Oct to Dec''17'!J22</f>
        <v>-176435.17969573278</v>
      </c>
    </row>
    <row r="19" spans="1:13" ht="18.75" customHeight="1">
      <c r="A19" s="80" t="s">
        <v>10</v>
      </c>
      <c r="B19" s="81">
        <f>'[1]P&amp;L Consolidated'!B17/0.01739</f>
        <v>-7777.4583093732035</v>
      </c>
      <c r="C19" s="98"/>
      <c r="E19" s="80" t="s">
        <v>10</v>
      </c>
      <c r="F19" s="81">
        <f>'[2]P&amp;L'!B17*3.67</f>
        <v>-236.2012</v>
      </c>
      <c r="I19" s="82" t="s">
        <v>10</v>
      </c>
      <c r="J19" s="83">
        <f>F19+B19</f>
        <v>-8013.6595093732039</v>
      </c>
      <c r="M19" s="84">
        <f>'Q3 - Jul to Sept''17'!J17+'Q2 - Apr to Jun''17'!J18+'Q1 - Jan to Mar''17'!J18+'2016'!J18+'Q4 - Oct to Dec''17'!J18</f>
        <v>-7991.8063139582773</v>
      </c>
    </row>
    <row r="20" spans="1:13" ht="18.75" customHeight="1">
      <c r="A20" s="90" t="s">
        <v>11</v>
      </c>
      <c r="B20" s="91">
        <f>'[1]P&amp;L Consolidated'!B18/0.01739</f>
        <v>-97841.135146635963</v>
      </c>
      <c r="C20" s="98"/>
      <c r="E20" s="90" t="s">
        <v>11</v>
      </c>
      <c r="F20" s="91">
        <f>'[2]P&amp;L'!B18*3.67</f>
        <v>-13617.016304169028</v>
      </c>
      <c r="I20" s="94" t="s">
        <v>11</v>
      </c>
      <c r="J20" s="95">
        <f>SUM(J17:J19)</f>
        <v>-287893.33114653773</v>
      </c>
      <c r="K20" s="89"/>
      <c r="M20" s="84">
        <f>SUM(M17:M19)</f>
        <v>-289701.13908658945</v>
      </c>
    </row>
    <row r="21" spans="1:13" ht="18.75" customHeight="1">
      <c r="A21" s="101" t="s">
        <v>30</v>
      </c>
      <c r="B21" s="102">
        <f>'[1]P&amp;L Consolidated'!B19/0.01739</f>
        <v>248854.76985189185</v>
      </c>
      <c r="C21" s="92">
        <f>B21/(30000000/17.39)</f>
        <v>0.14425281492414666</v>
      </c>
      <c r="E21" s="101" t="s">
        <v>30</v>
      </c>
      <c r="F21" s="102">
        <f>'[2]P&amp;L'!B19*3.67</f>
        <v>45684.141528940927</v>
      </c>
      <c r="G21" s="32">
        <f>F21/(199960.64*3.67)</f>
        <v>6.2252226073160583E-2</v>
      </c>
      <c r="I21" s="103" t="s">
        <v>27</v>
      </c>
      <c r="J21" s="104">
        <f>J15+J20</f>
        <v>120584.64600367396</v>
      </c>
      <c r="K21" s="18">
        <f>J21/((199960.64*3.67)+(30000000/17.39))</f>
        <v>4.9038383424273642E-2</v>
      </c>
      <c r="M21" s="84">
        <f>'2016'!J21-'2016'!J20+'Q1 - Jan to Mar''17'!J21-'Q1 - Jan to Mar''17'!J20+'Q2 - Apr to Jun''17'!J21-'Q2 - Apr to Jun''17'!J20+'Q3 - Jul to Sept''17'!J22+'Q4 - Oct to Dec''17'!J23</f>
        <v>115128.61215528917</v>
      </c>
    </row>
    <row r="22" spans="1:13" ht="17.25">
      <c r="A22" s="101"/>
      <c r="B22" s="102"/>
      <c r="C22" s="92"/>
      <c r="E22" s="101"/>
      <c r="F22" s="102"/>
      <c r="G22" s="93"/>
      <c r="I22" s="103"/>
      <c r="J22" s="104"/>
      <c r="K22" s="100"/>
    </row>
    <row r="23" spans="1:13" ht="18.75" customHeight="1">
      <c r="A23" s="90" t="s">
        <v>12</v>
      </c>
      <c r="B23" s="91">
        <f>(30000000/17.39)-((20000000/18.168)+(10000000/17.355))</f>
        <v>48089.925466777291</v>
      </c>
      <c r="C23" s="96">
        <f>B23/((30000000/17.39))</f>
        <v>2.7876126795575239E-2</v>
      </c>
      <c r="E23" s="90" t="s">
        <v>12</v>
      </c>
      <c r="F23" s="91">
        <f>'[3]P&amp;L'!B18*3.67</f>
        <v>0</v>
      </c>
      <c r="I23" s="105" t="s">
        <v>12</v>
      </c>
      <c r="J23" s="95">
        <f>(30000000/17.43)-((20000000/18.168)+(10000000/17.355))</f>
        <v>44130.936632115627</v>
      </c>
      <c r="K23" s="96">
        <f>J23/((30000000/17.39)+(199960.64*3.67))</f>
        <v>1.7946810503321239E-2</v>
      </c>
    </row>
    <row r="24" spans="1:13" ht="18" thickBot="1">
      <c r="A24" s="106" t="s">
        <v>13</v>
      </c>
      <c r="B24" s="107">
        <f>B21+B23</f>
        <v>296944.69531866914</v>
      </c>
      <c r="C24" s="96">
        <f>B24/((30000000/17.39))</f>
        <v>0.17212894171972187</v>
      </c>
      <c r="E24" s="106" t="s">
        <v>13</v>
      </c>
      <c r="F24" s="107">
        <f>F21</f>
        <v>45684.141528940927</v>
      </c>
      <c r="G24" s="96">
        <f>F24/(199960.64*3.67)</f>
        <v>6.2252226073160583E-2</v>
      </c>
      <c r="I24" s="108" t="s">
        <v>13</v>
      </c>
      <c r="J24" s="109">
        <f>J21+J23</f>
        <v>164715.58263578959</v>
      </c>
      <c r="K24" s="18">
        <f>J24/((199960.64*3.67)+(30000000/17.39))</f>
        <v>6.6985193927594888E-2</v>
      </c>
      <c r="M24" s="84"/>
    </row>
  </sheetData>
  <mergeCells count="6">
    <mergeCell ref="A3:B4"/>
    <mergeCell ref="E3:F4"/>
    <mergeCell ref="I3:J4"/>
    <mergeCell ref="A1:B1"/>
    <mergeCell ref="E1:F1"/>
    <mergeCell ref="I1:J1"/>
  </mergeCells>
  <phoneticPr fontId="4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D66D-5BC6-405B-ADF1-AEE329234C70}">
  <dimension ref="A1:K27"/>
  <sheetViews>
    <sheetView zoomScale="80" zoomScaleNormal="80" workbookViewId="0">
      <selection activeCell="J10" sqref="J10"/>
    </sheetView>
  </sheetViews>
  <sheetFormatPr defaultColWidth="9.140625" defaultRowHeight="15"/>
  <cols>
    <col min="1" max="1" width="29.5703125" style="113" customWidth="1"/>
    <col min="2" max="2" width="20.85546875" style="113" customWidth="1"/>
    <col min="3" max="3" width="9.42578125" style="113" bestFit="1" customWidth="1"/>
    <col min="4" max="4" width="9.140625" style="113" customWidth="1"/>
    <col min="5" max="5" width="29.5703125" style="113" bestFit="1" customWidth="1"/>
    <col min="6" max="6" width="18.85546875" style="113" customWidth="1"/>
    <col min="7" max="8" width="9.140625" style="113"/>
    <col min="9" max="9" width="29.5703125" style="113" bestFit="1" customWidth="1"/>
    <col min="10" max="10" width="20.5703125" style="113" customWidth="1"/>
    <col min="11" max="11" width="11.140625" style="113" bestFit="1" customWidth="1"/>
    <col min="12" max="16384" width="9.140625" style="113"/>
  </cols>
  <sheetData>
    <row r="1" spans="1:11" ht="18.75" customHeight="1" thickBot="1">
      <c r="A1" s="164" t="s">
        <v>16</v>
      </c>
      <c r="B1" s="165"/>
      <c r="E1" s="164" t="s">
        <v>17</v>
      </c>
      <c r="F1" s="165"/>
      <c r="I1" s="166" t="s">
        <v>18</v>
      </c>
      <c r="J1" s="167"/>
    </row>
    <row r="2" spans="1:11" ht="7.5" customHeight="1" thickBot="1"/>
    <row r="3" spans="1:11" ht="15" customHeight="1">
      <c r="A3" s="168" t="s">
        <v>38</v>
      </c>
      <c r="B3" s="169"/>
      <c r="E3" s="168" t="s">
        <v>38</v>
      </c>
      <c r="F3" s="169"/>
      <c r="I3" s="168" t="s">
        <v>38</v>
      </c>
      <c r="J3" s="169"/>
    </row>
    <row r="4" spans="1:11" ht="32.25" customHeight="1">
      <c r="A4" s="170"/>
      <c r="B4" s="171"/>
      <c r="E4" s="170"/>
      <c r="F4" s="171"/>
      <c r="I4" s="170"/>
      <c r="J4" s="171"/>
    </row>
    <row r="5" spans="1:11" ht="18.75" customHeight="1">
      <c r="A5" s="1" t="s">
        <v>0</v>
      </c>
      <c r="B5" s="115"/>
      <c r="E5" s="114" t="s">
        <v>0</v>
      </c>
      <c r="F5" s="115"/>
      <c r="I5" s="114" t="s">
        <v>0</v>
      </c>
      <c r="J5" s="115"/>
    </row>
    <row r="6" spans="1:11" ht="18.75" customHeight="1">
      <c r="A6" s="116" t="s">
        <v>1</v>
      </c>
      <c r="B6" s="117">
        <f>'[4]P&amp;L Monthly'!B4/0.01757</f>
        <v>-49439.6499715424</v>
      </c>
      <c r="E6" s="116" t="s">
        <v>1</v>
      </c>
      <c r="F6" s="117">
        <f>'[5]P&amp;L Monthly'!B4*3.67</f>
        <v>16716.666500000018</v>
      </c>
      <c r="I6" s="118" t="s">
        <v>1</v>
      </c>
      <c r="J6" s="119">
        <f>F6+B6</f>
        <v>-32722.983471542382</v>
      </c>
    </row>
    <row r="7" spans="1:11" ht="18.75" customHeight="1">
      <c r="A7" s="116" t="s">
        <v>37</v>
      </c>
      <c r="B7" s="117">
        <f>'[4]P&amp;L Monthly'!B5/0.01757</f>
        <v>12581.826977803084</v>
      </c>
      <c r="E7" s="116" t="s">
        <v>37</v>
      </c>
      <c r="F7" s="117">
        <f>'[5]P&amp;L Monthly'!B5*3.67</f>
        <v>0</v>
      </c>
      <c r="I7" s="118" t="s">
        <v>37</v>
      </c>
      <c r="J7" s="119">
        <f>F7+B7</f>
        <v>12581.826977803084</v>
      </c>
    </row>
    <row r="8" spans="1:11" ht="18.75" customHeight="1">
      <c r="A8" s="3" t="s">
        <v>40</v>
      </c>
      <c r="B8" s="117">
        <v>0</v>
      </c>
      <c r="E8" s="3" t="s">
        <v>40</v>
      </c>
      <c r="F8" s="117">
        <v>0</v>
      </c>
      <c r="I8" s="14" t="s">
        <v>40</v>
      </c>
      <c r="J8" s="119">
        <v>0</v>
      </c>
    </row>
    <row r="9" spans="1:11" ht="18.75" customHeight="1">
      <c r="A9" s="116" t="s">
        <v>2</v>
      </c>
      <c r="B9" s="117">
        <f>'[4]P&amp;L Monthly'!B6/0.01757</f>
        <v>358.41003961298736</v>
      </c>
      <c r="E9" s="116" t="s">
        <v>2</v>
      </c>
      <c r="F9" s="117">
        <f>'[5]P&amp;L Monthly'!B6*3.67</f>
        <v>0</v>
      </c>
      <c r="I9" s="118" t="s">
        <v>2</v>
      </c>
      <c r="J9" s="119">
        <f>F9+B9</f>
        <v>358.41003961298736</v>
      </c>
    </row>
    <row r="10" spans="1:11" ht="18.75" customHeight="1">
      <c r="A10" s="120" t="s">
        <v>3</v>
      </c>
      <c r="B10" s="121">
        <f>'[4]P&amp;L Monthly'!B7/0.01757</f>
        <v>-36499.412954126332</v>
      </c>
      <c r="E10" s="120" t="s">
        <v>3</v>
      </c>
      <c r="F10" s="121">
        <f>'[5]P&amp;L Monthly'!B7*3.67</f>
        <v>16716.666500000018</v>
      </c>
      <c r="I10" s="122" t="s">
        <v>3</v>
      </c>
      <c r="J10" s="123">
        <f>SUM(J6:J9)</f>
        <v>-19782.746454126311</v>
      </c>
      <c r="K10" s="124"/>
    </row>
    <row r="11" spans="1:11" ht="18.75" customHeight="1">
      <c r="A11" s="116" t="s">
        <v>20</v>
      </c>
      <c r="B11" s="117">
        <f>'[4]P&amp;L Monthly'!B8/0.01757</f>
        <v>0</v>
      </c>
      <c r="E11" s="116" t="s">
        <v>20</v>
      </c>
      <c r="F11" s="117">
        <f>'[5]P&amp;L Monthly'!B8*3.67</f>
        <v>0</v>
      </c>
      <c r="I11" s="118" t="s">
        <v>20</v>
      </c>
      <c r="J11" s="119">
        <f>B11+F11</f>
        <v>0</v>
      </c>
    </row>
    <row r="12" spans="1:11" ht="18.75" customHeight="1">
      <c r="A12" s="116" t="s">
        <v>4</v>
      </c>
      <c r="B12" s="117">
        <f>'[4]P&amp;L Monthly'!B9/0.01757</f>
        <v>28466.60216277745</v>
      </c>
      <c r="E12" s="116" t="s">
        <v>4</v>
      </c>
      <c r="F12" s="117">
        <f>'[5]P&amp;L Monthly'!B9*3.67</f>
        <v>7188.080350000002</v>
      </c>
      <c r="I12" s="118" t="s">
        <v>4</v>
      </c>
      <c r="J12" s="119">
        <f>B12+F12</f>
        <v>35654.68251277745</v>
      </c>
    </row>
    <row r="13" spans="1:11" ht="18.75" customHeight="1">
      <c r="A13" s="120" t="s">
        <v>5</v>
      </c>
      <c r="B13" s="121">
        <f>'[4]P&amp;L Monthly'!B10/0.01757</f>
        <v>28466.60216277745</v>
      </c>
      <c r="E13" s="120" t="s">
        <v>14</v>
      </c>
      <c r="F13" s="121">
        <f>'[5]P&amp;L Monthly'!B10*3.67</f>
        <v>7188.080350000002</v>
      </c>
      <c r="I13" s="122" t="s">
        <v>5</v>
      </c>
      <c r="J13" s="123">
        <f>F13+B13</f>
        <v>35654.68251277745</v>
      </c>
    </row>
    <row r="14" spans="1:11" ht="18.75" customHeight="1">
      <c r="A14" s="120" t="s">
        <v>6</v>
      </c>
      <c r="B14" s="121">
        <f>'[4]P&amp;L Monthly'!B11/0.01757</f>
        <v>3229.3027888446218</v>
      </c>
      <c r="E14" s="120" t="s">
        <v>15</v>
      </c>
      <c r="F14" s="121">
        <f>'[5]P&amp;L Monthly'!B11*3.67</f>
        <v>161.9204</v>
      </c>
      <c r="G14" s="125"/>
      <c r="I14" s="122" t="s">
        <v>6</v>
      </c>
      <c r="J14" s="123">
        <f>F14+B14</f>
        <v>3391.2231888446217</v>
      </c>
      <c r="K14" s="126"/>
    </row>
    <row r="15" spans="1:11" ht="18.75" customHeight="1">
      <c r="A15" s="127" t="s">
        <v>7</v>
      </c>
      <c r="B15" s="128">
        <f>'[4]P&amp;L Monthly'!B12/0.01757</f>
        <v>-4803.5080025042607</v>
      </c>
      <c r="C15" s="34">
        <f>B15/(30000000/17.57)</f>
        <v>-2.813254520133329E-3</v>
      </c>
      <c r="E15" s="127" t="s">
        <v>7</v>
      </c>
      <c r="F15" s="128">
        <f>'[5]P&amp;L Monthly'!B12*3.67</f>
        <v>24066.66725000002</v>
      </c>
      <c r="G15" s="130">
        <f>F15/(199960.64*3.67)</f>
        <v>3.2794829022351625E-2</v>
      </c>
      <c r="I15" s="131" t="s">
        <v>7</v>
      </c>
      <c r="J15" s="132">
        <f>J10+J13+J14</f>
        <v>19263.159247495762</v>
      </c>
      <c r="K15" s="18">
        <f>J15/((199960.64*3.67)+(30000000/17.57))</f>
        <v>7.8904964502443508E-3</v>
      </c>
    </row>
    <row r="16" spans="1:11" ht="18.75" customHeight="1">
      <c r="A16" s="134" t="s">
        <v>8</v>
      </c>
      <c r="B16" s="117">
        <f>'[4]P&amp;L Monthly'!B13/0.01757</f>
        <v>0</v>
      </c>
      <c r="C16" s="135"/>
      <c r="E16" s="134" t="s">
        <v>8</v>
      </c>
      <c r="F16" s="117">
        <f>'[5]P&amp;L Monthly'!B13*3.67</f>
        <v>0</v>
      </c>
      <c r="G16" s="125"/>
      <c r="I16" s="136" t="s">
        <v>8</v>
      </c>
      <c r="J16" s="119"/>
      <c r="K16" s="41"/>
    </row>
    <row r="17" spans="1:11" ht="18.75" customHeight="1">
      <c r="A17" s="116" t="s">
        <v>9</v>
      </c>
      <c r="B17" s="117">
        <f>'[4]P&amp;L Monthly'!B14/0.01757</f>
        <v>-6696.4070404097647</v>
      </c>
      <c r="C17" s="135"/>
      <c r="E17" s="116" t="s">
        <v>9</v>
      </c>
      <c r="F17" s="117">
        <f>'[5]P&amp;L Monthly'!B14*3.67</f>
        <v>-677.84899999999982</v>
      </c>
      <c r="G17" s="125"/>
      <c r="I17" s="118" t="s">
        <v>9</v>
      </c>
      <c r="J17" s="119">
        <f>F17+B17</f>
        <v>-7374.2560404097649</v>
      </c>
      <c r="K17" s="41"/>
    </row>
    <row r="18" spans="1:11" ht="18.75" customHeight="1">
      <c r="A18" s="116" t="s">
        <v>10</v>
      </c>
      <c r="B18" s="117">
        <f>'[4]P&amp;L Monthly'!B15/0.01757</f>
        <v>0</v>
      </c>
      <c r="C18" s="135"/>
      <c r="E18" s="116" t="s">
        <v>10</v>
      </c>
      <c r="F18" s="117">
        <f>'[5]P&amp;L Monthly'!B15*3.67</f>
        <v>0</v>
      </c>
      <c r="G18" s="125"/>
      <c r="I18" s="118" t="s">
        <v>10</v>
      </c>
      <c r="J18" s="119">
        <f>F18+B18</f>
        <v>0</v>
      </c>
      <c r="K18" s="33"/>
    </row>
    <row r="19" spans="1:11" ht="18.75" customHeight="1">
      <c r="A19" s="127" t="s">
        <v>11</v>
      </c>
      <c r="B19" s="128">
        <f>'[4]P&amp;L Monthly'!B16/0.01757</f>
        <v>-6696.4070404097647</v>
      </c>
      <c r="C19" s="135"/>
      <c r="E19" s="127" t="s">
        <v>11</v>
      </c>
      <c r="F19" s="128">
        <f>'[5]P&amp;L Monthly'!B16*3.67</f>
        <v>-677.84899999999982</v>
      </c>
      <c r="G19" s="125"/>
      <c r="I19" s="131" t="s">
        <v>11</v>
      </c>
      <c r="J19" s="132">
        <f>SUM(J17:J18)</f>
        <v>-7374.2560404097649</v>
      </c>
      <c r="K19" s="41"/>
    </row>
    <row r="20" spans="1:11" ht="18.75" customHeight="1">
      <c r="A20" s="137" t="s">
        <v>30</v>
      </c>
      <c r="B20" s="138">
        <f>'[4]P&amp;L Monthly'!B17/0.01757</f>
        <v>-11499.915042914026</v>
      </c>
      <c r="C20" s="34">
        <f>B20/(30000000/17.57)</f>
        <v>-6.7351169101333153E-3</v>
      </c>
      <c r="E20" s="137" t="s">
        <v>30</v>
      </c>
      <c r="F20" s="138">
        <f>'[5]P&amp;L Monthly'!B17*3.67</f>
        <v>23388.818250000022</v>
      </c>
      <c r="G20" s="130">
        <f>F20/(199960.64*3.67)</f>
        <v>3.1871147241777212E-2</v>
      </c>
      <c r="I20" s="139" t="s">
        <v>27</v>
      </c>
      <c r="J20" s="138">
        <f>J15+J19</f>
        <v>11888.903207085998</v>
      </c>
      <c r="K20" s="18">
        <f>J20/((199960.64*3.67)+(30000000/17.57))</f>
        <v>4.8698838725016562E-3</v>
      </c>
    </row>
    <row r="21" spans="1:11" ht="17.25">
      <c r="A21" s="137"/>
      <c r="B21" s="138"/>
      <c r="C21" s="140"/>
      <c r="E21" s="137"/>
      <c r="F21" s="138"/>
      <c r="G21" s="141"/>
      <c r="I21" s="139"/>
      <c r="J21" s="138"/>
      <c r="K21" s="18"/>
    </row>
    <row r="22" spans="1:11" ht="18.75" customHeight="1">
      <c r="A22" s="37" t="s">
        <v>36</v>
      </c>
      <c r="B22" s="138">
        <v>0</v>
      </c>
      <c r="C22" s="129"/>
      <c r="E22" s="37" t="s">
        <v>36</v>
      </c>
      <c r="F22" s="138">
        <v>0</v>
      </c>
      <c r="I22" s="37" t="s">
        <v>36</v>
      </c>
      <c r="J22" s="138">
        <f>-J20*0.3</f>
        <v>-3566.6709621257992</v>
      </c>
      <c r="K22" s="33"/>
    </row>
    <row r="23" spans="1:11" ht="18" thickBot="1">
      <c r="A23" s="143" t="s">
        <v>13</v>
      </c>
      <c r="B23" s="144">
        <f>B20+B22</f>
        <v>-11499.915042914026</v>
      </c>
      <c r="C23" s="34">
        <f>B23/(30000000/17.57)</f>
        <v>-6.7351169101333153E-3</v>
      </c>
      <c r="E23" s="143" t="s">
        <v>13</v>
      </c>
      <c r="F23" s="144">
        <f>F20+F22</f>
        <v>23388.818250000022</v>
      </c>
      <c r="G23" s="130">
        <f>F23/(199960.64*3.67)</f>
        <v>3.1871147241777212E-2</v>
      </c>
      <c r="I23" s="145" t="s">
        <v>13</v>
      </c>
      <c r="J23" s="146">
        <f>J20+J22</f>
        <v>8322.2322449601979</v>
      </c>
      <c r="K23" s="18">
        <f>J23/((199960.64*3.67)+(30000000/17.57))</f>
        <v>3.4089187107511592E-3</v>
      </c>
    </row>
    <row r="24" spans="1:11" ht="18" thickBot="1">
      <c r="A24" s="156"/>
      <c r="B24" s="157"/>
      <c r="C24" s="34"/>
      <c r="E24" s="156"/>
      <c r="F24" s="157"/>
      <c r="G24" s="130"/>
      <c r="I24" s="158"/>
      <c r="J24" s="159"/>
      <c r="K24" s="18"/>
    </row>
    <row r="25" spans="1:11" ht="17.25">
      <c r="A25" s="147" t="s">
        <v>33</v>
      </c>
      <c r="B25" s="148">
        <f>'[6]P&amp;L Monthly'!$B$17/0.01778</f>
        <v>17716.535433070865</v>
      </c>
      <c r="E25" s="147" t="s">
        <v>33</v>
      </c>
      <c r="F25" s="148">
        <f>'[5]P&amp;L Monthly'!$B$18*3.67</f>
        <v>6789.5</v>
      </c>
      <c r="I25" s="149" t="s">
        <v>33</v>
      </c>
      <c r="J25" s="150">
        <f>F25+B25</f>
        <v>24506.035433070865</v>
      </c>
    </row>
    <row r="26" spans="1:11" ht="18" thickBot="1">
      <c r="A26" s="143" t="s">
        <v>34</v>
      </c>
      <c r="B26" s="144">
        <f>B23-B25</f>
        <v>-29216.450475984893</v>
      </c>
      <c r="C26" s="7">
        <f>B26/B25</f>
        <v>-1.6491063157555919</v>
      </c>
      <c r="E26" s="143" t="s">
        <v>34</v>
      </c>
      <c r="F26" s="144">
        <f>F23-F25</f>
        <v>16599.318250000022</v>
      </c>
      <c r="G26" s="130">
        <f>F26/F25</f>
        <v>2.4448513513513546</v>
      </c>
      <c r="I26" s="145" t="s">
        <v>34</v>
      </c>
      <c r="J26" s="151">
        <f>J23-J25</f>
        <v>-16183.803188110667</v>
      </c>
      <c r="K26" s="31">
        <f>J26/J25</f>
        <v>-0.66040070954401076</v>
      </c>
    </row>
    <row r="27" spans="1:11" ht="17.25">
      <c r="A27" s="127" t="s">
        <v>12</v>
      </c>
      <c r="B27" s="132">
        <f>(30000000/17.57)-((20000000/18.168)+(10000000/17.355))</f>
        <v>30416.431485747453</v>
      </c>
      <c r="C27" s="130">
        <f>B27/((30000000/17.57))</f>
        <v>1.7813890040152758E-2</v>
      </c>
      <c r="E27" s="127" t="s">
        <v>12</v>
      </c>
      <c r="F27" s="128">
        <f>'[3]P&amp;L Monthly'!B19*3.67</f>
        <v>0</v>
      </c>
      <c r="I27" s="152" t="s">
        <v>12</v>
      </c>
      <c r="J27" s="132">
        <f>(30000000/17.57)-((20000000/18.168)+(10000000/17.355))</f>
        <v>30416.431485747453</v>
      </c>
      <c r="K27" s="130">
        <f>J27/((30000000/17.57)+(199960.64*3.67))</f>
        <v>1.2459054176099969E-2</v>
      </c>
    </row>
  </sheetData>
  <mergeCells count="6">
    <mergeCell ref="A1:B1"/>
    <mergeCell ref="E1:F1"/>
    <mergeCell ref="I1:J1"/>
    <mergeCell ref="A3:B4"/>
    <mergeCell ref="E3:F4"/>
    <mergeCell ref="I3:J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zoomScale="80" zoomScaleNormal="80" workbookViewId="0">
      <selection activeCell="F22" sqref="F22"/>
    </sheetView>
  </sheetViews>
  <sheetFormatPr defaultColWidth="9.140625" defaultRowHeight="15"/>
  <cols>
    <col min="1" max="1" width="29.5703125" style="113" bestFit="1" customWidth="1"/>
    <col min="2" max="2" width="20.85546875" style="113" customWidth="1"/>
    <col min="3" max="3" width="12" style="113" bestFit="1" customWidth="1"/>
    <col min="4" max="4" width="9.140625" style="113" customWidth="1"/>
    <col min="5" max="5" width="29.5703125" style="113" bestFit="1" customWidth="1"/>
    <col min="6" max="6" width="18.85546875" style="113" customWidth="1"/>
    <col min="7" max="7" width="12" style="113" bestFit="1" customWidth="1"/>
    <col min="8" max="8" width="9.140625" style="113"/>
    <col min="9" max="9" width="29.5703125" style="113" bestFit="1" customWidth="1"/>
    <col min="10" max="10" width="20.5703125" style="113" customWidth="1"/>
    <col min="11" max="11" width="11.140625" style="113" bestFit="1" customWidth="1"/>
    <col min="12" max="16384" width="9.140625" style="113"/>
  </cols>
  <sheetData>
    <row r="1" spans="1:11" ht="18.75" customHeight="1" thickBot="1">
      <c r="A1" s="164" t="s">
        <v>16</v>
      </c>
      <c r="B1" s="165"/>
      <c r="E1" s="164" t="s">
        <v>17</v>
      </c>
      <c r="F1" s="165"/>
      <c r="I1" s="166" t="s">
        <v>18</v>
      </c>
      <c r="J1" s="167"/>
    </row>
    <row r="2" spans="1:11" ht="7.5" customHeight="1" thickBot="1"/>
    <row r="3" spans="1:11" ht="15" customHeight="1">
      <c r="A3" s="168" t="s">
        <v>39</v>
      </c>
      <c r="B3" s="169"/>
      <c r="E3" s="168" t="s">
        <v>39</v>
      </c>
      <c r="F3" s="169"/>
      <c r="I3" s="168" t="s">
        <v>39</v>
      </c>
      <c r="J3" s="169"/>
    </row>
    <row r="4" spans="1:11" ht="32.25" customHeight="1">
      <c r="A4" s="170"/>
      <c r="B4" s="171"/>
      <c r="E4" s="170"/>
      <c r="F4" s="171"/>
      <c r="I4" s="170"/>
      <c r="J4" s="171"/>
    </row>
    <row r="5" spans="1:11" ht="18.75" customHeight="1">
      <c r="A5" s="114" t="s">
        <v>0</v>
      </c>
      <c r="B5" s="115"/>
      <c r="E5" s="114" t="s">
        <v>0</v>
      </c>
      <c r="F5" s="115"/>
      <c r="I5" s="114" t="s">
        <v>0</v>
      </c>
      <c r="J5" s="115"/>
    </row>
    <row r="6" spans="1:11" ht="18.75" customHeight="1">
      <c r="A6" s="116" t="s">
        <v>1</v>
      </c>
      <c r="B6" s="117">
        <f>'[7]P&amp;L Monthly'!B4/0.01763</f>
        <v>78610.601247872939</v>
      </c>
      <c r="E6" s="116" t="s">
        <v>1</v>
      </c>
      <c r="F6" s="117">
        <f>'[8]P&amp;L Monthly'!B4*3.67</f>
        <v>8172.8220899999824</v>
      </c>
      <c r="I6" s="118" t="s">
        <v>1</v>
      </c>
      <c r="J6" s="119">
        <f>F6+B6</f>
        <v>86783.423337872926</v>
      </c>
    </row>
    <row r="7" spans="1:11" ht="18.75" customHeight="1">
      <c r="A7" s="116" t="s">
        <v>37</v>
      </c>
      <c r="B7" s="117">
        <v>0</v>
      </c>
      <c r="E7" s="116" t="s">
        <v>37</v>
      </c>
      <c r="F7" s="117">
        <v>0</v>
      </c>
      <c r="I7" s="118" t="s">
        <v>37</v>
      </c>
      <c r="J7" s="119">
        <v>0</v>
      </c>
    </row>
    <row r="8" spans="1:11" ht="18.75" customHeight="1">
      <c r="A8" s="3" t="s">
        <v>40</v>
      </c>
      <c r="B8" s="117">
        <v>0</v>
      </c>
      <c r="E8" s="3" t="s">
        <v>40</v>
      </c>
      <c r="F8" s="117">
        <v>0</v>
      </c>
      <c r="I8" s="14" t="s">
        <v>40</v>
      </c>
      <c r="J8" s="119">
        <v>0</v>
      </c>
    </row>
    <row r="9" spans="1:11" ht="18.75" customHeight="1">
      <c r="A9" s="116" t="s">
        <v>2</v>
      </c>
      <c r="B9" s="117">
        <f>'[7]P&amp;L Monthly'!B5/0.01763</f>
        <v>5431.8575036868879</v>
      </c>
      <c r="E9" s="116" t="s">
        <v>2</v>
      </c>
      <c r="F9" s="117">
        <v>0</v>
      </c>
      <c r="I9" s="118" t="s">
        <v>2</v>
      </c>
      <c r="J9" s="119">
        <f>F9+B9</f>
        <v>5431.8575036868879</v>
      </c>
    </row>
    <row r="10" spans="1:11" ht="18.75" customHeight="1">
      <c r="A10" s="120" t="s">
        <v>3</v>
      </c>
      <c r="B10" s="121">
        <f>'[7]P&amp;L Monthly'!B6/0.01763</f>
        <v>84042.458751559825</v>
      </c>
      <c r="E10" s="120" t="s">
        <v>3</v>
      </c>
      <c r="F10" s="121">
        <f>'[8]P&amp;L Monthly'!B6*3.67</f>
        <v>8172.8220899999824</v>
      </c>
      <c r="I10" s="122" t="s">
        <v>3</v>
      </c>
      <c r="J10" s="123">
        <f>SUM(J6:J9)</f>
        <v>92215.280841559812</v>
      </c>
      <c r="K10" s="124"/>
    </row>
    <row r="11" spans="1:11" ht="18.75" customHeight="1">
      <c r="A11" s="116" t="s">
        <v>20</v>
      </c>
      <c r="B11" s="117">
        <f>'[7]P&amp;L Monthly'!B7/0.01763</f>
        <v>0</v>
      </c>
      <c r="E11" s="116" t="s">
        <v>20</v>
      </c>
      <c r="F11" s="117">
        <f>'[8]P&amp;L Monthly'!B7*3.67</f>
        <v>0</v>
      </c>
      <c r="I11" s="118" t="s">
        <v>20</v>
      </c>
      <c r="J11" s="119">
        <f>B11+F11</f>
        <v>0</v>
      </c>
    </row>
    <row r="12" spans="1:11" ht="18.75" customHeight="1">
      <c r="A12" s="116" t="s">
        <v>4</v>
      </c>
      <c r="B12" s="117">
        <f>'[7]P&amp;L Monthly'!B8/0.01763</f>
        <v>28241.93703913784</v>
      </c>
      <c r="E12" s="116" t="s">
        <v>4</v>
      </c>
      <c r="F12" s="117">
        <f>'[8]P&amp;L Monthly'!B8*3.67</f>
        <v>14893.433235649991</v>
      </c>
      <c r="I12" s="118" t="s">
        <v>4</v>
      </c>
      <c r="J12" s="119">
        <f>B12+F12</f>
        <v>43135.370274787827</v>
      </c>
    </row>
    <row r="13" spans="1:11" ht="18.75" customHeight="1">
      <c r="A13" s="120" t="s">
        <v>5</v>
      </c>
      <c r="B13" s="121">
        <f>'[7]P&amp;L Monthly'!B9/0.01763</f>
        <v>28241.93703913784</v>
      </c>
      <c r="E13" s="120" t="s">
        <v>14</v>
      </c>
      <c r="F13" s="121">
        <f>'[8]P&amp;L Monthly'!B9*3.67</f>
        <v>14893.433235649991</v>
      </c>
      <c r="I13" s="122" t="s">
        <v>5</v>
      </c>
      <c r="J13" s="123">
        <f>F13+B13</f>
        <v>43135.370274787827</v>
      </c>
    </row>
    <row r="14" spans="1:11" ht="18.75" customHeight="1">
      <c r="A14" s="120" t="s">
        <v>6</v>
      </c>
      <c r="B14" s="121">
        <f>'[7]P&amp;L Monthly'!B10/0.01763</f>
        <v>940.95859330686324</v>
      </c>
      <c r="E14" s="120" t="s">
        <v>15</v>
      </c>
      <c r="F14" s="121">
        <f>'[8]P&amp;L Monthly'!B10*3.67</f>
        <v>0</v>
      </c>
      <c r="G14" s="125"/>
      <c r="I14" s="122" t="s">
        <v>6</v>
      </c>
      <c r="J14" s="123">
        <f>F14+B14</f>
        <v>940.95859330686324</v>
      </c>
      <c r="K14" s="126"/>
    </row>
    <row r="15" spans="1:11" ht="18.75" customHeight="1">
      <c r="A15" s="127" t="s">
        <v>7</v>
      </c>
      <c r="B15" s="128">
        <f>'[7]P&amp;L Monthly'!B11/0.01763</f>
        <v>113225.35438400453</v>
      </c>
      <c r="C15" s="129">
        <f>B15/(30000000/17.63)</f>
        <v>6.6538766592999996E-2</v>
      </c>
      <c r="E15" s="127" t="s">
        <v>7</v>
      </c>
      <c r="F15" s="128">
        <f>'[8]P&amp;L Monthly'!B11*3.67</f>
        <v>23066.255325649974</v>
      </c>
      <c r="G15" s="130">
        <f>F15/(199960.64*3.67)</f>
        <v>3.1431601714217321E-2</v>
      </c>
      <c r="I15" s="131" t="s">
        <v>7</v>
      </c>
      <c r="J15" s="132">
        <f>J10+J13+J14</f>
        <v>136291.6097096545</v>
      </c>
      <c r="K15" s="133">
        <f>J15/((199960.64*3.67)+(30000000/17.63))</f>
        <v>5.5960411941570198E-2</v>
      </c>
    </row>
    <row r="16" spans="1:11" ht="18.75" customHeight="1">
      <c r="A16" s="134" t="s">
        <v>8</v>
      </c>
      <c r="B16" s="117"/>
      <c r="C16" s="135"/>
      <c r="E16" s="134" t="s">
        <v>8</v>
      </c>
      <c r="F16" s="117"/>
      <c r="G16" s="125"/>
      <c r="I16" s="136" t="s">
        <v>8</v>
      </c>
      <c r="J16" s="119"/>
      <c r="K16" s="126"/>
    </row>
    <row r="17" spans="1:11" ht="18.75" customHeight="1">
      <c r="A17" s="116" t="s">
        <v>9</v>
      </c>
      <c r="B17" s="117">
        <f>'[7]P&amp;L Monthly'!B13/0.01763</f>
        <v>-22018.377714123661</v>
      </c>
      <c r="C17" s="135"/>
      <c r="E17" s="116" t="s">
        <v>9</v>
      </c>
      <c r="F17" s="117">
        <f>'[8]P&amp;L Monthly'!B13*3.67</f>
        <v>-1057.1802</v>
      </c>
      <c r="G17" s="125"/>
      <c r="I17" s="118" t="s">
        <v>9</v>
      </c>
      <c r="J17" s="119">
        <f>F17+B17</f>
        <v>-23075.557914123659</v>
      </c>
      <c r="K17" s="126"/>
    </row>
    <row r="18" spans="1:11" ht="18.75" customHeight="1">
      <c r="A18" s="116" t="s">
        <v>10</v>
      </c>
      <c r="B18" s="117">
        <f>'[7]P&amp;L Monthly'!B14/0.01763</f>
        <v>0</v>
      </c>
      <c r="C18" s="135"/>
      <c r="E18" s="116" t="s">
        <v>10</v>
      </c>
      <c r="F18" s="117">
        <f>'[8]P&amp;L Monthly'!B14*3.67</f>
        <v>0</v>
      </c>
      <c r="G18" s="125"/>
      <c r="I18" s="118" t="s">
        <v>10</v>
      </c>
      <c r="J18" s="119">
        <f>F18+B18</f>
        <v>0</v>
      </c>
      <c r="K18" s="125"/>
    </row>
    <row r="19" spans="1:11" ht="18.75" customHeight="1">
      <c r="A19" s="127" t="s">
        <v>11</v>
      </c>
      <c r="B19" s="128">
        <f>'[7]P&amp;L Monthly'!B15/0.01763</f>
        <v>-22018.377714123661</v>
      </c>
      <c r="C19" s="135"/>
      <c r="E19" s="127" t="s">
        <v>11</v>
      </c>
      <c r="F19" s="128">
        <f>'[8]P&amp;L Monthly'!B15*3.67</f>
        <v>-1057.1802</v>
      </c>
      <c r="G19" s="125"/>
      <c r="I19" s="131" t="s">
        <v>11</v>
      </c>
      <c r="J19" s="132">
        <f>SUM(J17:J18)</f>
        <v>-23075.557914123659</v>
      </c>
      <c r="K19" s="126"/>
    </row>
    <row r="20" spans="1:11" ht="18.75" customHeight="1">
      <c r="A20" s="137" t="s">
        <v>30</v>
      </c>
      <c r="B20" s="138">
        <f>'[7]P&amp;L Monthly'!B16/0.01763</f>
        <v>91206.976669880867</v>
      </c>
      <c r="C20" s="129">
        <f>B20/(30000000/17.63)</f>
        <v>5.3599299956333321E-2</v>
      </c>
      <c r="E20" s="137" t="s">
        <v>30</v>
      </c>
      <c r="F20" s="138">
        <f>'[8]P&amp;L Monthly'!B16*3.67</f>
        <v>22009.075125649972</v>
      </c>
      <c r="G20" s="130">
        <f>F20/(199960.64*3.67)</f>
        <v>2.9991018207383174E-2</v>
      </c>
      <c r="I20" s="139" t="s">
        <v>27</v>
      </c>
      <c r="J20" s="138">
        <f>J15+J19</f>
        <v>113216.05179553083</v>
      </c>
      <c r="K20" s="133">
        <f>J20/((199960.64*3.67)+(30000000/17.63))</f>
        <v>4.6485744136216312E-2</v>
      </c>
    </row>
    <row r="21" spans="1:11" ht="17.25">
      <c r="A21" s="137"/>
      <c r="B21" s="138"/>
      <c r="C21" s="140"/>
      <c r="E21" s="137"/>
      <c r="F21" s="138"/>
      <c r="G21" s="141"/>
      <c r="I21" s="139"/>
      <c r="J21" s="138"/>
      <c r="K21" s="142"/>
    </row>
    <row r="22" spans="1:11" ht="18.75" customHeight="1">
      <c r="A22" s="139" t="s">
        <v>28</v>
      </c>
      <c r="B22" s="138">
        <v>0</v>
      </c>
      <c r="C22" s="129"/>
      <c r="E22" s="139" t="s">
        <v>28</v>
      </c>
      <c r="F22" s="138">
        <v>0</v>
      </c>
      <c r="I22" s="139" t="s">
        <v>28</v>
      </c>
      <c r="J22" s="138">
        <f>J20*-0.25</f>
        <v>-28304.012948882708</v>
      </c>
    </row>
    <row r="23" spans="1:11" ht="18" thickBot="1">
      <c r="A23" s="143" t="s">
        <v>13</v>
      </c>
      <c r="B23" s="144">
        <f>B20+B22</f>
        <v>91206.976669880867</v>
      </c>
      <c r="C23" s="129">
        <f>B23/(30000000/17.63)</f>
        <v>5.3599299956333321E-2</v>
      </c>
      <c r="E23" s="143" t="s">
        <v>13</v>
      </c>
      <c r="F23" s="144">
        <f>F20+F22</f>
        <v>22009.075125649972</v>
      </c>
      <c r="G23" s="130">
        <f>F23/(199960.64*3.67)</f>
        <v>2.9991018207383174E-2</v>
      </c>
      <c r="I23" s="145" t="s">
        <v>13</v>
      </c>
      <c r="J23" s="146">
        <f>J20+J22</f>
        <v>84912.038846648124</v>
      </c>
      <c r="K23" s="133">
        <f>J23/((199960.64*3.67)+(30000000/17.63))</f>
        <v>3.4864308102162234E-2</v>
      </c>
    </row>
    <row r="24" spans="1:11" ht="18" thickBot="1">
      <c r="A24" s="156"/>
      <c r="B24" s="157"/>
      <c r="C24" s="129"/>
      <c r="E24" s="156"/>
      <c r="F24" s="157"/>
      <c r="G24" s="130"/>
      <c r="I24" s="158"/>
      <c r="J24" s="159"/>
      <c r="K24" s="133"/>
    </row>
    <row r="25" spans="1:11" ht="17.25">
      <c r="A25" s="147" t="s">
        <v>33</v>
      </c>
      <c r="B25" s="148">
        <f>'[9]P&amp;L Monthly'!$B$17/0.01763</f>
        <v>17016.449234259784</v>
      </c>
      <c r="E25" s="147" t="s">
        <v>33</v>
      </c>
      <c r="F25" s="148">
        <f>'[10]P&amp;L Monthly'!$B$17*3.67</f>
        <v>6422.5</v>
      </c>
      <c r="I25" s="149" t="s">
        <v>33</v>
      </c>
      <c r="J25" s="150">
        <f>F25+B25</f>
        <v>23438.949234259784</v>
      </c>
    </row>
    <row r="26" spans="1:11" ht="18" thickBot="1">
      <c r="A26" s="143" t="s">
        <v>34</v>
      </c>
      <c r="B26" s="144">
        <f>B23-B25</f>
        <v>74190.527435621087</v>
      </c>
      <c r="C26" s="130">
        <f>B26/B25</f>
        <v>4.3599299956333324</v>
      </c>
      <c r="E26" s="143" t="s">
        <v>34</v>
      </c>
      <c r="F26" s="144">
        <f>F23-F25</f>
        <v>15586.575125649972</v>
      </c>
      <c r="G26" s="130">
        <f>F26/F25</f>
        <v>2.4268703971428529</v>
      </c>
      <c r="I26" s="145" t="s">
        <v>34</v>
      </c>
      <c r="J26" s="151">
        <f>J23-J25</f>
        <v>61473.089612388343</v>
      </c>
      <c r="K26" s="133">
        <f>J26/J25</f>
        <v>2.6226896520828484</v>
      </c>
    </row>
    <row r="27" spans="1:11" ht="17.25">
      <c r="A27" s="127" t="s">
        <v>12</v>
      </c>
      <c r="B27" s="132">
        <f>(30000000/17.63)-((20000000/18.168)+(10000000/17.355))</f>
        <v>24605.464188903105</v>
      </c>
      <c r="C27" s="130">
        <f>B27/((30000000/17.63))</f>
        <v>1.4459811121678724E-2</v>
      </c>
      <c r="E27" s="127" t="s">
        <v>12</v>
      </c>
      <c r="F27" s="128">
        <f>'[3]P&amp;L Monthly'!B19*3.67</f>
        <v>0</v>
      </c>
      <c r="I27" s="152" t="s">
        <v>12</v>
      </c>
      <c r="J27" s="132">
        <f>(30000000/17.63)-((20000000/18.168)+(10000000/17.355))</f>
        <v>24605.464188903105</v>
      </c>
      <c r="K27" s="130">
        <f>J27/((30000000/17.63)+(199960.64*3.67))</f>
        <v>1.0102836960821612E-2</v>
      </c>
    </row>
  </sheetData>
  <mergeCells count="6">
    <mergeCell ref="A1:B1"/>
    <mergeCell ref="E1:F1"/>
    <mergeCell ref="I1:J1"/>
    <mergeCell ref="A3:B4"/>
    <mergeCell ref="E3:F4"/>
    <mergeCell ref="I3:J4"/>
  </mergeCells>
  <phoneticPr fontId="49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zoomScale="80" zoomScaleNormal="80" workbookViewId="0">
      <selection activeCell="J21" sqref="J21"/>
    </sheetView>
  </sheetViews>
  <sheetFormatPr defaultColWidth="9.140625" defaultRowHeight="15"/>
  <cols>
    <col min="1" max="1" width="29.5703125" style="42" bestFit="1" customWidth="1"/>
    <col min="2" max="2" width="20.85546875" style="42" customWidth="1"/>
    <col min="3" max="3" width="9.140625" style="42"/>
    <col min="4" max="4" width="9.140625" style="42" customWidth="1"/>
    <col min="5" max="5" width="29.5703125" style="42" bestFit="1" customWidth="1"/>
    <col min="6" max="6" width="18.85546875" style="42" customWidth="1"/>
    <col min="7" max="8" width="9.140625" style="42"/>
    <col min="9" max="9" width="29.5703125" style="42" bestFit="1" customWidth="1"/>
    <col min="10" max="10" width="20.5703125" style="42" customWidth="1"/>
    <col min="11" max="11" width="9.5703125" style="42" bestFit="1" customWidth="1"/>
    <col min="12" max="16384" width="9.140625" style="42"/>
  </cols>
  <sheetData>
    <row r="1" spans="1:11" ht="6" customHeight="1" thickBot="1"/>
    <row r="2" spans="1:11" ht="23.25" thickBot="1">
      <c r="A2" s="172" t="s">
        <v>16</v>
      </c>
      <c r="B2" s="173"/>
      <c r="E2" s="172" t="s">
        <v>17</v>
      </c>
      <c r="F2" s="173"/>
      <c r="I2" s="174" t="s">
        <v>18</v>
      </c>
      <c r="J2" s="175"/>
    </row>
    <row r="3" spans="1:11" ht="7.5" customHeight="1" thickBot="1"/>
    <row r="4" spans="1:11" ht="15" customHeight="1">
      <c r="A4" s="176" t="s">
        <v>32</v>
      </c>
      <c r="B4" s="177"/>
      <c r="E4" s="176" t="s">
        <v>32</v>
      </c>
      <c r="F4" s="177"/>
      <c r="I4" s="176" t="s">
        <v>32</v>
      </c>
      <c r="J4" s="177"/>
    </row>
    <row r="5" spans="1:11" ht="66" customHeight="1">
      <c r="A5" s="178"/>
      <c r="B5" s="179"/>
      <c r="E5" s="178"/>
      <c r="F5" s="179"/>
      <c r="I5" s="178"/>
      <c r="J5" s="179"/>
    </row>
    <row r="6" spans="1:11" ht="18.75" customHeight="1">
      <c r="A6" s="43" t="s">
        <v>0</v>
      </c>
      <c r="B6" s="44"/>
      <c r="E6" s="43" t="s">
        <v>0</v>
      </c>
      <c r="F6" s="44"/>
      <c r="I6" s="43" t="s">
        <v>0</v>
      </c>
      <c r="J6" s="44"/>
    </row>
    <row r="7" spans="1:11" ht="18.75" customHeight="1">
      <c r="A7" s="45" t="s">
        <v>1</v>
      </c>
      <c r="B7" s="46">
        <f>'[11]P&amp;L Monthly'!B4/0.01777</f>
        <v>16723.25548677547</v>
      </c>
      <c r="E7" s="45" t="s">
        <v>1</v>
      </c>
      <c r="F7" s="46">
        <f>'[12]P&amp;L Monthly'!B4*3.67</f>
        <v>-6127.5575139999946</v>
      </c>
      <c r="I7" s="47" t="s">
        <v>1</v>
      </c>
      <c r="J7" s="48">
        <f>F7+B7</f>
        <v>10595.697972775475</v>
      </c>
    </row>
    <row r="8" spans="1:11" ht="18.75" customHeight="1">
      <c r="A8" s="45" t="s">
        <v>2</v>
      </c>
      <c r="B8" s="46">
        <f>'[11]P&amp;L Monthly'!B5/0.01777</f>
        <v>52.915085751244128</v>
      </c>
      <c r="E8" s="45" t="s">
        <v>2</v>
      </c>
      <c r="F8" s="46">
        <f>'[12]P&amp;L Monthly'!B5*3.67</f>
        <v>0</v>
      </c>
      <c r="I8" s="47" t="s">
        <v>2</v>
      </c>
      <c r="J8" s="48">
        <f>F8+B8</f>
        <v>52.915085751244128</v>
      </c>
    </row>
    <row r="9" spans="1:11" ht="18.75" customHeight="1">
      <c r="A9" s="49" t="s">
        <v>3</v>
      </c>
      <c r="B9" s="50">
        <f>'[11]P&amp;L Monthly'!B6/0.01777</f>
        <v>16776.170572526717</v>
      </c>
      <c r="E9" s="49" t="s">
        <v>3</v>
      </c>
      <c r="F9" s="50">
        <f>'[12]P&amp;L Monthly'!B6*3.67</f>
        <v>-6127.5575139999946</v>
      </c>
      <c r="I9" s="51" t="s">
        <v>3</v>
      </c>
      <c r="J9" s="52">
        <f>SUM(J7:J8)</f>
        <v>10648.61305852672</v>
      </c>
      <c r="K9" s="53"/>
    </row>
    <row r="10" spans="1:11" ht="18.75" customHeight="1">
      <c r="A10" s="45" t="s">
        <v>20</v>
      </c>
      <c r="B10" s="46">
        <f>'[11]P&amp;L Monthly'!B7/0.01777</f>
        <v>0</v>
      </c>
      <c r="E10" s="45" t="s">
        <v>20</v>
      </c>
      <c r="F10" s="46">
        <f>'[12]P&amp;L Monthly'!B7*3.67</f>
        <v>0</v>
      </c>
      <c r="I10" s="47" t="s">
        <v>20</v>
      </c>
      <c r="J10" s="48">
        <f>B10+F10</f>
        <v>0</v>
      </c>
    </row>
    <row r="11" spans="1:11" ht="18.75" customHeight="1">
      <c r="A11" s="45" t="s">
        <v>4</v>
      </c>
      <c r="B11" s="46">
        <f>'[11]P&amp;L Monthly'!B8/0.01777</f>
        <v>7784.4625773775961</v>
      </c>
      <c r="E11" s="45" t="s">
        <v>4</v>
      </c>
      <c r="F11" s="46">
        <f>'[12]P&amp;L Monthly'!B8*3.67</f>
        <v>9200.3787839999986</v>
      </c>
      <c r="I11" s="47" t="s">
        <v>4</v>
      </c>
      <c r="J11" s="48">
        <f>B11+F11</f>
        <v>16984.841361377596</v>
      </c>
    </row>
    <row r="12" spans="1:11" ht="18.75" customHeight="1">
      <c r="A12" s="49" t="s">
        <v>5</v>
      </c>
      <c r="B12" s="50">
        <f>'[11]P&amp;L Monthly'!B9/0.01777</f>
        <v>7784.4625773775961</v>
      </c>
      <c r="E12" s="49" t="s">
        <v>14</v>
      </c>
      <c r="F12" s="50">
        <f>'[12]P&amp;L Monthly'!B9*3.67</f>
        <v>9200.3787839999986</v>
      </c>
      <c r="I12" s="51" t="s">
        <v>5</v>
      </c>
      <c r="J12" s="52">
        <f>F12+B12</f>
        <v>16984.841361377596</v>
      </c>
    </row>
    <row r="13" spans="1:11" ht="18.75" customHeight="1">
      <c r="A13" s="49" t="s">
        <v>6</v>
      </c>
      <c r="B13" s="50">
        <f>'[11]P&amp;L Monthly'!B10/0.01777</f>
        <v>337.87281935846926</v>
      </c>
      <c r="E13" s="49" t="s">
        <v>15</v>
      </c>
      <c r="F13" s="50">
        <f>'[12]P&amp;L Monthly'!B10*3.67</f>
        <v>438.71179999999998</v>
      </c>
      <c r="G13" s="54"/>
      <c r="I13" s="51" t="s">
        <v>6</v>
      </c>
      <c r="J13" s="52">
        <f>F13+B13</f>
        <v>776.58461935846924</v>
      </c>
      <c r="K13" s="55"/>
    </row>
    <row r="14" spans="1:11" ht="18.75" customHeight="1">
      <c r="A14" s="56" t="s">
        <v>7</v>
      </c>
      <c r="B14" s="57">
        <f>'[11]P&amp;L Monthly'!B11/0.01777</f>
        <v>24898.505969262784</v>
      </c>
      <c r="C14" s="58">
        <f>B14/(30000000/17.77)</f>
        <v>1.4748215035793322E-2</v>
      </c>
      <c r="E14" s="56" t="s">
        <v>7</v>
      </c>
      <c r="F14" s="57">
        <f>'[12]P&amp;L Monthly'!B11*3.67</f>
        <v>3511.5330700000031</v>
      </c>
      <c r="G14" s="59">
        <f>F14/(199960.64*3.67)</f>
        <v>4.7850466971900117E-3</v>
      </c>
      <c r="I14" s="60" t="s">
        <v>7</v>
      </c>
      <c r="J14" s="61">
        <f>J9+J12+J13</f>
        <v>28410.039039262785</v>
      </c>
      <c r="K14" s="62">
        <f>J14/((199960.64*3.67)+(30000000/17.77))</f>
        <v>1.1729535369982362E-2</v>
      </c>
    </row>
    <row r="15" spans="1:11" ht="18.75" customHeight="1">
      <c r="A15" s="63" t="s">
        <v>8</v>
      </c>
      <c r="B15" s="46"/>
      <c r="C15" s="64"/>
      <c r="E15" s="63" t="s">
        <v>8</v>
      </c>
      <c r="F15" s="46">
        <f>'[12]P&amp;L Monthly'!B12*3.67</f>
        <v>0</v>
      </c>
      <c r="G15" s="54"/>
      <c r="I15" s="65" t="s">
        <v>8</v>
      </c>
      <c r="J15" s="48"/>
      <c r="K15" s="55"/>
    </row>
    <row r="16" spans="1:11" ht="18.75" customHeight="1">
      <c r="A16" s="45" t="s">
        <v>9</v>
      </c>
      <c r="B16" s="46">
        <f>'[11]P&amp;L Monthly'!B13/0.01777</f>
        <v>-7657.8891052335239</v>
      </c>
      <c r="C16" s="64"/>
      <c r="E16" s="45" t="s">
        <v>9</v>
      </c>
      <c r="F16" s="46">
        <f>'[12]P&amp;L Monthly'!B13*3.67</f>
        <v>-805.52829999999994</v>
      </c>
      <c r="G16" s="54"/>
      <c r="I16" s="47" t="s">
        <v>9</v>
      </c>
      <c r="J16" s="48">
        <f>F16+B16</f>
        <v>-8463.4174052335238</v>
      </c>
      <c r="K16" s="55"/>
    </row>
    <row r="17" spans="1:11" ht="18.75" customHeight="1">
      <c r="A17" s="45" t="s">
        <v>10</v>
      </c>
      <c r="B17" s="46">
        <f>'[11]P&amp;L Monthly'!B14/0.01777</f>
        <v>0</v>
      </c>
      <c r="C17" s="64"/>
      <c r="E17" s="45" t="s">
        <v>10</v>
      </c>
      <c r="F17" s="46">
        <f>'[12]P&amp;L Monthly'!B14*3.67</f>
        <v>0</v>
      </c>
      <c r="G17" s="54"/>
      <c r="I17" s="47" t="s">
        <v>10</v>
      </c>
      <c r="J17" s="48">
        <f>F17+B17</f>
        <v>0</v>
      </c>
      <c r="K17" s="54"/>
    </row>
    <row r="18" spans="1:11" ht="18.75" customHeight="1">
      <c r="A18" s="56" t="s">
        <v>11</v>
      </c>
      <c r="B18" s="57">
        <f>'[11]P&amp;L Monthly'!B15/0.01777</f>
        <v>-7657.8891052335239</v>
      </c>
      <c r="C18" s="64"/>
      <c r="E18" s="56" t="s">
        <v>11</v>
      </c>
      <c r="F18" s="57">
        <f>'[12]P&amp;L Monthly'!B15*3.67</f>
        <v>-805.52829999999994</v>
      </c>
      <c r="G18" s="54"/>
      <c r="I18" s="60" t="s">
        <v>11</v>
      </c>
      <c r="J18" s="61">
        <f>SUM(J16:J17)</f>
        <v>-8463.4174052335238</v>
      </c>
      <c r="K18" s="55"/>
    </row>
    <row r="19" spans="1:11" ht="18.75" customHeight="1">
      <c r="A19" s="66" t="s">
        <v>30</v>
      </c>
      <c r="B19" s="67">
        <f>'[11]P&amp;L Monthly'!B16/0.01777</f>
        <v>17240.61686402926</v>
      </c>
      <c r="C19" s="58">
        <f>B19/(30000000/17.77)</f>
        <v>1.021219205579333E-2</v>
      </c>
      <c r="E19" s="66" t="s">
        <v>30</v>
      </c>
      <c r="F19" s="67">
        <f>'[12]P&amp;L Monthly'!B16*3.67</f>
        <v>2706.0047700000027</v>
      </c>
      <c r="G19" s="59">
        <f>F19/(199960.64*3.67)</f>
        <v>3.6873806765171423E-3</v>
      </c>
      <c r="I19" s="68" t="s">
        <v>27</v>
      </c>
      <c r="J19" s="67">
        <f>J14+J18</f>
        <v>19946.621634029259</v>
      </c>
      <c r="K19" s="62">
        <f>J19/((199960.64*3.67)+(30000000/17.77))</f>
        <v>8.2352792139659351E-3</v>
      </c>
    </row>
    <row r="20" spans="1:11" ht="9" customHeight="1">
      <c r="A20" s="66"/>
      <c r="B20" s="67"/>
      <c r="C20" s="69"/>
      <c r="E20" s="66"/>
      <c r="F20" s="67"/>
      <c r="G20" s="70"/>
      <c r="I20" s="68"/>
      <c r="J20" s="67"/>
      <c r="K20" s="71"/>
    </row>
    <row r="21" spans="1:11" ht="18.75" customHeight="1">
      <c r="A21" s="68" t="s">
        <v>28</v>
      </c>
      <c r="B21" s="67">
        <f>B19*-0.25</f>
        <v>-4310.154216007315</v>
      </c>
      <c r="C21" s="58"/>
      <c r="E21" s="68" t="s">
        <v>28</v>
      </c>
      <c r="F21" s="67">
        <f>F19*-0.25</f>
        <v>-676.50119250000068</v>
      </c>
      <c r="I21" s="68" t="s">
        <v>28</v>
      </c>
      <c r="J21" s="67">
        <f>F21+B21</f>
        <v>-4986.6554085073158</v>
      </c>
    </row>
    <row r="22" spans="1:11" ht="18" thickBot="1">
      <c r="A22" s="73" t="s">
        <v>13</v>
      </c>
      <c r="B22" s="74">
        <f>B19+B21</f>
        <v>12930.462648021945</v>
      </c>
      <c r="C22" s="58">
        <f>B22/(30000000/17.77)</f>
        <v>7.6591440418449985E-3</v>
      </c>
      <c r="E22" s="73" t="s">
        <v>13</v>
      </c>
      <c r="F22" s="74">
        <f>F19+F21</f>
        <v>2029.5035775000019</v>
      </c>
      <c r="G22" s="58">
        <f>F22/(30000000/17.77)</f>
        <v>1.2021426190725012E-3</v>
      </c>
      <c r="I22" s="75" t="s">
        <v>13</v>
      </c>
      <c r="J22" s="76">
        <f>J19+J21</f>
        <v>14959.966225521945</v>
      </c>
      <c r="K22" s="62">
        <f>J22/((199960.64*3.67)+(30000000/17.77))</f>
        <v>6.1764594104744509E-3</v>
      </c>
    </row>
    <row r="23" spans="1:11">
      <c r="A23" s="110" t="s">
        <v>33</v>
      </c>
      <c r="B23" s="111">
        <f>'[9]P&amp;L Monthly'!$F$17/0.01777</f>
        <v>12380.416432189082</v>
      </c>
      <c r="C23"/>
      <c r="E23" s="110" t="s">
        <v>33</v>
      </c>
      <c r="F23" s="111">
        <f>'[10]P&amp;L Monthly'!$F$17*3.67</f>
        <v>6422.5</v>
      </c>
      <c r="G23"/>
      <c r="I23" s="110" t="s">
        <v>33</v>
      </c>
      <c r="J23" s="111">
        <f>F23+B23</f>
        <v>18802.916432189082</v>
      </c>
      <c r="K23"/>
    </row>
    <row r="24" spans="1:11" ht="18" thickBot="1">
      <c r="A24" s="10" t="s">
        <v>34</v>
      </c>
      <c r="B24" s="26">
        <f>B22-B23</f>
        <v>550.0462158328628</v>
      </c>
      <c r="C24" s="32">
        <f>B24/B23</f>
        <v>4.442873297886351E-2</v>
      </c>
      <c r="E24" s="10" t="s">
        <v>34</v>
      </c>
      <c r="F24" s="26">
        <f>F22-F23</f>
        <v>-4392.9964224999985</v>
      </c>
      <c r="G24" s="7">
        <f>F24/F23</f>
        <v>-0.68400099999999975</v>
      </c>
      <c r="I24" s="10" t="s">
        <v>34</v>
      </c>
      <c r="J24" s="26">
        <f>J22-J23</f>
        <v>-3842.9502066671375</v>
      </c>
      <c r="K24" s="31">
        <f>J24/J23</f>
        <v>-0.20438053961077632</v>
      </c>
    </row>
    <row r="25" spans="1:11" ht="17.25">
      <c r="A25" s="56" t="s">
        <v>12</v>
      </c>
      <c r="B25" s="57">
        <f>'[13]P&amp;L Monthly'!B19/0.01749</f>
        <v>0</v>
      </c>
      <c r="E25" s="56" t="s">
        <v>12</v>
      </c>
      <c r="F25" s="57">
        <f>'[3]P&amp;L Monthly'!B19*3.67</f>
        <v>0</v>
      </c>
      <c r="I25" s="72" t="s">
        <v>12</v>
      </c>
      <c r="J25" s="61">
        <f>(30000000/17.77)-((20000000/18.168)+(10000000/17.355))</f>
        <v>11199.145152345067</v>
      </c>
      <c r="K25" s="32">
        <f>J25/((30000000/17.77)+(199960.64*3.67))</f>
        <v>4.623744761366109E-3</v>
      </c>
    </row>
  </sheetData>
  <mergeCells count="6">
    <mergeCell ref="A2:B2"/>
    <mergeCell ref="E2:F2"/>
    <mergeCell ref="I2:J2"/>
    <mergeCell ref="A4:B5"/>
    <mergeCell ref="E4:F5"/>
    <mergeCell ref="I4:J5"/>
  </mergeCells>
  <phoneticPr fontId="49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zoomScale="80" zoomScaleNormal="80" workbookViewId="0">
      <selection activeCell="K25" sqref="K25"/>
    </sheetView>
  </sheetViews>
  <sheetFormatPr defaultRowHeight="15"/>
  <cols>
    <col min="1" max="1" width="29.5703125" bestFit="1" customWidth="1"/>
    <col min="2" max="2" width="20.85546875" customWidth="1"/>
    <col min="3" max="3" width="9.42578125" bestFit="1" customWidth="1"/>
    <col min="4" max="4" width="9.140625" customWidth="1"/>
    <col min="5" max="5" width="29.5703125" bestFit="1" customWidth="1"/>
    <col min="6" max="6" width="18.85546875" customWidth="1"/>
    <col min="9" max="9" width="29.5703125" bestFit="1" customWidth="1"/>
    <col min="10" max="10" width="20.5703125" customWidth="1"/>
    <col min="11" max="11" width="10.85546875" bestFit="1" customWidth="1"/>
  </cols>
  <sheetData>
    <row r="1" spans="1:11" ht="6" customHeight="1" thickBot="1"/>
    <row r="2" spans="1:11" ht="23.25" thickBot="1">
      <c r="A2" s="180" t="s">
        <v>16</v>
      </c>
      <c r="B2" s="181"/>
      <c r="E2" s="180" t="s">
        <v>17</v>
      </c>
      <c r="F2" s="181"/>
      <c r="I2" s="182" t="s">
        <v>18</v>
      </c>
      <c r="J2" s="183"/>
    </row>
    <row r="3" spans="1:11" ht="7.5" customHeight="1" thickBot="1"/>
    <row r="4" spans="1:11" ht="15" customHeight="1">
      <c r="A4" s="184" t="s">
        <v>31</v>
      </c>
      <c r="B4" s="185"/>
      <c r="E4" s="184" t="s">
        <v>31</v>
      </c>
      <c r="F4" s="185"/>
      <c r="I4" s="184" t="s">
        <v>31</v>
      </c>
      <c r="J4" s="185"/>
    </row>
    <row r="5" spans="1:11" ht="66" customHeight="1">
      <c r="A5" s="186"/>
      <c r="B5" s="187"/>
      <c r="E5" s="186"/>
      <c r="F5" s="187"/>
      <c r="I5" s="186"/>
      <c r="J5" s="187"/>
    </row>
    <row r="6" spans="1:11" ht="18.75" customHeight="1">
      <c r="A6" s="1" t="s">
        <v>0</v>
      </c>
      <c r="B6" s="2"/>
      <c r="E6" s="1" t="s">
        <v>0</v>
      </c>
      <c r="F6" s="2"/>
      <c r="I6" s="1" t="s">
        <v>0</v>
      </c>
      <c r="J6" s="2"/>
    </row>
    <row r="7" spans="1:11" ht="18.75" customHeight="1">
      <c r="A7" s="3" t="s">
        <v>1</v>
      </c>
      <c r="B7" s="22">
        <f>'[14]P&amp;L Monthly'!B4/0.01741</f>
        <v>-27105.58317633544</v>
      </c>
      <c r="E7" s="3" t="s">
        <v>1</v>
      </c>
      <c r="F7" s="22">
        <f>'[15]P&amp;L Monthly'!B4*3.67</f>
        <v>-665.01427600000466</v>
      </c>
      <c r="I7" s="14" t="s">
        <v>1</v>
      </c>
      <c r="J7" s="27">
        <f>F7+B7</f>
        <v>-27770.597452335445</v>
      </c>
    </row>
    <row r="8" spans="1:11" ht="18.75" customHeight="1">
      <c r="A8" s="3" t="s">
        <v>2</v>
      </c>
      <c r="B8" s="22">
        <f>'[14]P&amp;L Monthly'!B5/0.01741</f>
        <v>-6030.7871595634706</v>
      </c>
      <c r="E8" s="3" t="s">
        <v>2</v>
      </c>
      <c r="F8" s="22">
        <f>'[15]P&amp;L Monthly'!B5*3.67</f>
        <v>0</v>
      </c>
      <c r="I8" s="14" t="s">
        <v>2</v>
      </c>
      <c r="J8" s="27">
        <f>F8+B8</f>
        <v>-6030.7871595634706</v>
      </c>
    </row>
    <row r="9" spans="1:11" ht="18.75" customHeight="1">
      <c r="A9" s="5" t="s">
        <v>3</v>
      </c>
      <c r="B9" s="23">
        <f>'[14]P&amp;L Monthly'!B6/0.01741</f>
        <v>-33136.370335898908</v>
      </c>
      <c r="E9" s="5" t="s">
        <v>3</v>
      </c>
      <c r="F9" s="23">
        <f>'[15]P&amp;L Monthly'!B6*3.67</f>
        <v>-665.01427600000466</v>
      </c>
      <c r="I9" s="11" t="s">
        <v>3</v>
      </c>
      <c r="J9" s="28">
        <f>SUM(J7:J8)</f>
        <v>-33801.384611898917</v>
      </c>
      <c r="K9" s="17"/>
    </row>
    <row r="10" spans="1:11" ht="18.75" customHeight="1">
      <c r="A10" s="3" t="s">
        <v>20</v>
      </c>
      <c r="B10" s="22">
        <f>'[14]P&amp;L Monthly'!B7/0.01741</f>
        <v>0</v>
      </c>
      <c r="E10" s="3" t="s">
        <v>20</v>
      </c>
      <c r="F10" s="22">
        <f>'[15]P&amp;L Monthly'!B7*3.67</f>
        <v>0</v>
      </c>
      <c r="I10" s="14" t="s">
        <v>20</v>
      </c>
      <c r="J10" s="27">
        <f>B10+F10</f>
        <v>0</v>
      </c>
    </row>
    <row r="11" spans="1:11" ht="18.75" customHeight="1">
      <c r="A11" s="3" t="s">
        <v>4</v>
      </c>
      <c r="B11" s="22">
        <f>'[14]P&amp;L Monthly'!B8/0.01741</f>
        <v>12621.243716255025</v>
      </c>
      <c r="E11" s="3" t="s">
        <v>4</v>
      </c>
      <c r="F11" s="22">
        <f>'[15]P&amp;L Monthly'!B8*3.67</f>
        <v>-2943.4574400000006</v>
      </c>
      <c r="I11" s="14" t="s">
        <v>4</v>
      </c>
      <c r="J11" s="27">
        <f>B11+F11</f>
        <v>9677.7862762550249</v>
      </c>
    </row>
    <row r="12" spans="1:11" ht="18.75" customHeight="1">
      <c r="A12" s="5" t="s">
        <v>5</v>
      </c>
      <c r="B12" s="23">
        <f>'[14]P&amp;L Monthly'!B9/0.01741</f>
        <v>12621.243716255025</v>
      </c>
      <c r="E12" s="5" t="s">
        <v>14</v>
      </c>
      <c r="F12" s="23">
        <f>'[15]P&amp;L Monthly'!B9*3.67</f>
        <v>-2943.4574400000006</v>
      </c>
      <c r="I12" s="11" t="s">
        <v>5</v>
      </c>
      <c r="J12" s="28">
        <f>F12+B12</f>
        <v>9677.7862762550249</v>
      </c>
    </row>
    <row r="13" spans="1:11" ht="18.75" customHeight="1">
      <c r="A13" s="5" t="s">
        <v>6</v>
      </c>
      <c r="B13" s="23">
        <f>'[14]P&amp;L Monthly'!B10/0.01741</f>
        <v>2375.7892016082715</v>
      </c>
      <c r="E13" s="5" t="s">
        <v>15</v>
      </c>
      <c r="F13" s="23">
        <f>'[15]P&amp;L Monthly'!B10*3.67</f>
        <v>351.47589999999997</v>
      </c>
      <c r="I13" s="11" t="s">
        <v>6</v>
      </c>
      <c r="J13" s="28">
        <f>F13+B13</f>
        <v>2727.2651016082714</v>
      </c>
      <c r="K13" s="17"/>
    </row>
    <row r="14" spans="1:11" ht="18.75" customHeight="1">
      <c r="A14" s="6" t="s">
        <v>7</v>
      </c>
      <c r="B14" s="24">
        <f>'[14]P&amp;L Monthly'!B11/0.01741</f>
        <v>-18139.337418035611</v>
      </c>
      <c r="C14" s="34">
        <f>B14/(20000000/17.41)</f>
        <v>-1.5790293222399998E-2</v>
      </c>
      <c r="E14" s="6" t="s">
        <v>7</v>
      </c>
      <c r="F14" s="24">
        <f>'[15]P&amp;L Monthly'!B11*3.67</f>
        <v>-3256.9958160000051</v>
      </c>
      <c r="G14" s="7">
        <f>F14/(199960.64*3.67)</f>
        <v>-4.4381974372556593E-3</v>
      </c>
      <c r="I14" s="12" t="s">
        <v>7</v>
      </c>
      <c r="J14" s="29">
        <f>J9+J12+J13</f>
        <v>-21396.333234035621</v>
      </c>
      <c r="K14" s="31">
        <f>J14/((129967.82*3.67)+(20000000/17.41))</f>
        <v>-1.316092450885957E-2</v>
      </c>
    </row>
    <row r="15" spans="1:11" ht="18.75" customHeight="1">
      <c r="A15" s="9" t="s">
        <v>8</v>
      </c>
      <c r="B15" s="22"/>
      <c r="C15" s="21"/>
      <c r="E15" s="9" t="s">
        <v>8</v>
      </c>
      <c r="F15" s="22"/>
      <c r="G15" s="33"/>
      <c r="I15" s="13" t="s">
        <v>8</v>
      </c>
      <c r="J15" s="27"/>
      <c r="K15" s="17"/>
    </row>
    <row r="16" spans="1:11" ht="18.75" customHeight="1">
      <c r="A16" s="3" t="s">
        <v>9</v>
      </c>
      <c r="B16" s="22">
        <f>'[14]P&amp;L Monthly'!B13/0.01741</f>
        <v>-3348.2704824813245</v>
      </c>
      <c r="C16" s="21"/>
      <c r="E16" s="3" t="s">
        <v>9</v>
      </c>
      <c r="F16" s="22">
        <f>'[15]P&amp;L Monthly'!B13*3.67</f>
        <v>-722.29270000000008</v>
      </c>
      <c r="G16" s="33"/>
      <c r="I16" s="14" t="s">
        <v>9</v>
      </c>
      <c r="J16" s="27">
        <f>F16+B16</f>
        <v>-4070.5631824813245</v>
      </c>
      <c r="K16" s="17"/>
    </row>
    <row r="17" spans="1:11" ht="18.75" customHeight="1">
      <c r="A17" s="3" t="s">
        <v>10</v>
      </c>
      <c r="B17" s="22">
        <f>'[14]P&amp;L Monthly'!B14/0.01741</f>
        <v>-6777.7139574956927</v>
      </c>
      <c r="C17" s="21"/>
      <c r="E17" s="3" t="s">
        <v>10</v>
      </c>
      <c r="F17" s="22">
        <f>'[15]P&amp;L Monthly'!B14*3.67</f>
        <v>0</v>
      </c>
      <c r="G17" s="33"/>
      <c r="I17" s="14" t="s">
        <v>10</v>
      </c>
      <c r="J17" s="27">
        <f>F17+B17</f>
        <v>-6777.7139574956927</v>
      </c>
    </row>
    <row r="18" spans="1:11" ht="18.75" customHeight="1">
      <c r="A18" s="6" t="s">
        <v>11</v>
      </c>
      <c r="B18" s="24">
        <f>'[14]P&amp;L Monthly'!B15/0.01741</f>
        <v>-10125.984439977017</v>
      </c>
      <c r="C18" s="21"/>
      <c r="E18" s="6" t="s">
        <v>11</v>
      </c>
      <c r="F18" s="24">
        <f>'[15]P&amp;L Monthly'!B15*3.67</f>
        <v>-722.29270000000008</v>
      </c>
      <c r="G18" s="33"/>
      <c r="I18" s="12" t="s">
        <v>11</v>
      </c>
      <c r="J18" s="29">
        <f>SUM(J16:J17)</f>
        <v>-10848.277139977017</v>
      </c>
      <c r="K18" s="17"/>
    </row>
    <row r="19" spans="1:11" ht="18.75" customHeight="1">
      <c r="A19" s="19" t="s">
        <v>30</v>
      </c>
      <c r="B19" s="38">
        <f>'[14]P&amp;L Monthly'!B16/0.01741</f>
        <v>-28265.321858012627</v>
      </c>
      <c r="C19" s="34">
        <f>B19/(20000000/17.41)</f>
        <v>-2.4604962677399991E-2</v>
      </c>
      <c r="E19" s="19" t="s">
        <v>30</v>
      </c>
      <c r="F19" s="38">
        <f>'[15]P&amp;L Monthly'!B16*3.67</f>
        <v>-3979.2885160000055</v>
      </c>
      <c r="G19" s="7">
        <f>F19/(199960.64*3.67)</f>
        <v>-5.422441136415654E-3</v>
      </c>
      <c r="I19" s="37" t="s">
        <v>27</v>
      </c>
      <c r="J19" s="38">
        <f>J14+J18</f>
        <v>-32244.610374012638</v>
      </c>
      <c r="K19" s="31">
        <f>J19/((129967.82*3.67)+(20000000/17.41))</f>
        <v>-1.9833720026145297E-2</v>
      </c>
    </row>
    <row r="20" spans="1:11" ht="9" customHeight="1">
      <c r="A20" s="19"/>
      <c r="B20" s="38"/>
      <c r="C20" s="34"/>
      <c r="E20" s="19"/>
      <c r="F20" s="38"/>
      <c r="G20" s="7"/>
      <c r="I20" s="37"/>
      <c r="J20" s="38"/>
      <c r="K20" s="31"/>
    </row>
    <row r="21" spans="1:11" ht="18.75" customHeight="1">
      <c r="A21" s="37" t="s">
        <v>28</v>
      </c>
      <c r="B21" s="38">
        <v>0</v>
      </c>
      <c r="C21" s="20"/>
      <c r="E21" s="37" t="s">
        <v>28</v>
      </c>
      <c r="F21" s="38">
        <f>'[3]P&amp;L Monthly'!B18*3.67</f>
        <v>0</v>
      </c>
      <c r="I21" s="37" t="s">
        <v>28</v>
      </c>
      <c r="J21" s="38">
        <v>0</v>
      </c>
    </row>
    <row r="22" spans="1:11" ht="18" thickBot="1">
      <c r="A22" s="10" t="s">
        <v>13</v>
      </c>
      <c r="B22" s="26">
        <f>B19+B21</f>
        <v>-28265.321858012627</v>
      </c>
      <c r="C22" s="34">
        <f>B22/(20000000/17.41)</f>
        <v>-2.4604962677399991E-2</v>
      </c>
      <c r="E22" s="10" t="s">
        <v>13</v>
      </c>
      <c r="F22" s="26">
        <f>F19+F21</f>
        <v>-3979.2885160000055</v>
      </c>
      <c r="G22" s="34">
        <f>F22/(20000000/17.41)</f>
        <v>-3.4639706531780045E-3</v>
      </c>
      <c r="I22" s="16" t="s">
        <v>13</v>
      </c>
      <c r="J22" s="30">
        <f>J19+J21</f>
        <v>-32244.610374012638</v>
      </c>
      <c r="K22" s="31">
        <f>J22/((129967.82*3.67)+(20000000/17.41))</f>
        <v>-1.9833720026145297E-2</v>
      </c>
    </row>
    <row r="23" spans="1:11">
      <c r="A23" s="110" t="s">
        <v>33</v>
      </c>
      <c r="B23" s="111">
        <f>'[9]P&amp;L Monthly'!$J$17/0.01741</f>
        <v>12062.033314187251</v>
      </c>
      <c r="E23" s="110" t="s">
        <v>33</v>
      </c>
      <c r="F23" s="111">
        <f>'[10]P&amp;L Monthly'!$J$17*3.67</f>
        <v>6422.5</v>
      </c>
      <c r="I23" s="110" t="s">
        <v>33</v>
      </c>
      <c r="J23" s="111">
        <f>F23+B23</f>
        <v>18484.533314187251</v>
      </c>
    </row>
    <row r="24" spans="1:11" ht="18" thickBot="1">
      <c r="A24" s="10" t="s">
        <v>34</v>
      </c>
      <c r="B24" s="26">
        <f>B22-B23</f>
        <v>-40327.355172199881</v>
      </c>
      <c r="C24" s="7">
        <f>B24/B23</f>
        <v>-3.3433297787999989</v>
      </c>
      <c r="E24" s="10" t="s">
        <v>34</v>
      </c>
      <c r="F24" s="26">
        <f>F22-F23</f>
        <v>-10401.788516000006</v>
      </c>
      <c r="G24" s="7">
        <f>F24/F23</f>
        <v>-1.6195856000000008</v>
      </c>
      <c r="I24" s="10" t="s">
        <v>34</v>
      </c>
      <c r="J24" s="26">
        <f>J22-J23</f>
        <v>-50729.143688199889</v>
      </c>
      <c r="K24" s="31">
        <f>J24/J23</f>
        <v>-2.7444103037897229</v>
      </c>
    </row>
    <row r="25" spans="1:11" ht="17.25">
      <c r="A25" s="6" t="s">
        <v>12</v>
      </c>
      <c r="B25" s="24">
        <f>'[13]P&amp;L Monthly'!B19/0.01749</f>
        <v>0</v>
      </c>
      <c r="E25" s="6" t="s">
        <v>12</v>
      </c>
      <c r="F25" s="24">
        <f>'[3]P&amp;L Monthly'!B19*3.67</f>
        <v>0</v>
      </c>
      <c r="I25" s="39" t="s">
        <v>12</v>
      </c>
      <c r="J25" s="29">
        <f>('[16]Cash Movement'!$I7/17.41)-('[16]Cash Movement'!$I7/18.168)</f>
        <v>47928.441698401934</v>
      </c>
      <c r="K25" s="32">
        <f>J25/((30000000/17.44)+(199960.64*3.67))</f>
        <v>1.9530431673695604E-2</v>
      </c>
    </row>
  </sheetData>
  <mergeCells count="6">
    <mergeCell ref="A2:B2"/>
    <mergeCell ref="E2:F2"/>
    <mergeCell ref="I2:J2"/>
    <mergeCell ref="A4:B5"/>
    <mergeCell ref="E4:F5"/>
    <mergeCell ref="I4:J5"/>
  </mergeCells>
  <phoneticPr fontId="49" type="noConversion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zoomScale="80" zoomScaleNormal="80" workbookViewId="0">
      <selection activeCell="F21" sqref="F21"/>
    </sheetView>
  </sheetViews>
  <sheetFormatPr defaultRowHeight="15"/>
  <cols>
    <col min="1" max="1" width="29.5703125" bestFit="1" customWidth="1"/>
    <col min="2" max="2" width="20.85546875" customWidth="1"/>
    <col min="4" max="4" width="9.140625" customWidth="1"/>
    <col min="5" max="5" width="29.5703125" bestFit="1" customWidth="1"/>
    <col min="6" max="6" width="18.85546875" customWidth="1"/>
    <col min="9" max="9" width="29.5703125" bestFit="1" customWidth="1"/>
    <col min="10" max="10" width="20.5703125" customWidth="1"/>
    <col min="11" max="11" width="10.140625" bestFit="1" customWidth="1"/>
  </cols>
  <sheetData>
    <row r="1" spans="1:11" ht="6" customHeight="1" thickBot="1"/>
    <row r="2" spans="1:11" ht="23.25" thickBot="1">
      <c r="A2" s="180" t="s">
        <v>16</v>
      </c>
      <c r="B2" s="181"/>
      <c r="E2" s="180" t="s">
        <v>17</v>
      </c>
      <c r="F2" s="181"/>
      <c r="I2" s="182" t="s">
        <v>18</v>
      </c>
      <c r="J2" s="183"/>
    </row>
    <row r="3" spans="1:11" ht="7.5" customHeight="1" thickBot="1"/>
    <row r="4" spans="1:11" ht="15" customHeight="1">
      <c r="A4" s="184" t="s">
        <v>26</v>
      </c>
      <c r="B4" s="185"/>
      <c r="E4" s="184" t="s">
        <v>26</v>
      </c>
      <c r="F4" s="185"/>
      <c r="I4" s="184" t="s">
        <v>26</v>
      </c>
      <c r="J4" s="185"/>
    </row>
    <row r="5" spans="1:11" ht="66" customHeight="1">
      <c r="A5" s="186"/>
      <c r="B5" s="187"/>
      <c r="E5" s="186"/>
      <c r="F5" s="187"/>
      <c r="I5" s="186"/>
      <c r="J5" s="187"/>
    </row>
    <row r="6" spans="1:11" ht="18.75" customHeight="1">
      <c r="A6" s="1" t="s">
        <v>0</v>
      </c>
      <c r="B6" s="2"/>
      <c r="E6" s="1" t="s">
        <v>0</v>
      </c>
      <c r="F6" s="2"/>
      <c r="I6" s="1" t="s">
        <v>0</v>
      </c>
      <c r="J6" s="2"/>
    </row>
    <row r="7" spans="1:11" ht="18.75" customHeight="1">
      <c r="A7" s="3" t="s">
        <v>1</v>
      </c>
      <c r="B7" s="22">
        <f>'[17]P&amp;L Monthly'!B4/0.01747</f>
        <v>32524.144247281056</v>
      </c>
      <c r="E7" s="3" t="s">
        <v>1</v>
      </c>
      <c r="F7" s="22">
        <f>'[18]P&amp;L Monthly'!B4*3.67</f>
        <v>2783.984214350035</v>
      </c>
      <c r="I7" s="14" t="s">
        <v>1</v>
      </c>
      <c r="J7" s="27">
        <f>F7+B7</f>
        <v>35308.128461631088</v>
      </c>
    </row>
    <row r="8" spans="1:11" ht="18.75" customHeight="1">
      <c r="A8" s="3" t="s">
        <v>2</v>
      </c>
      <c r="B8" s="22">
        <f>'[17]P&amp;L Monthly'!B5/0.01747</f>
        <v>3382.583562873509</v>
      </c>
      <c r="E8" s="3" t="s">
        <v>2</v>
      </c>
      <c r="F8" s="22">
        <f>'[18]P&amp;L Monthly'!B5*3.67</f>
        <v>0</v>
      </c>
      <c r="I8" s="14" t="s">
        <v>2</v>
      </c>
      <c r="J8" s="27">
        <f>F8+B8</f>
        <v>3382.583562873509</v>
      </c>
    </row>
    <row r="9" spans="1:11" ht="18.75" customHeight="1">
      <c r="A9" s="5" t="s">
        <v>3</v>
      </c>
      <c r="B9" s="23">
        <f>'[17]P&amp;L Monthly'!B6/0.01747</f>
        <v>35906.727810154567</v>
      </c>
      <c r="E9" s="5" t="s">
        <v>3</v>
      </c>
      <c r="F9" s="23">
        <f>'[18]P&amp;L Monthly'!B6*3.67</f>
        <v>2783.984214350035</v>
      </c>
      <c r="I9" s="11" t="s">
        <v>3</v>
      </c>
      <c r="J9" s="28">
        <f>SUM(J7:J8)</f>
        <v>38690.712024504595</v>
      </c>
      <c r="K9" s="17"/>
    </row>
    <row r="10" spans="1:11" ht="18.75" customHeight="1">
      <c r="A10" s="3" t="s">
        <v>20</v>
      </c>
      <c r="B10" s="22">
        <f>'[17]P&amp;L Monthly'!B7/0.01747</f>
        <v>0</v>
      </c>
      <c r="E10" s="3" t="s">
        <v>20</v>
      </c>
      <c r="F10" s="22">
        <f>'[18]P&amp;L Monthly'!B7*3.67</f>
        <v>0</v>
      </c>
      <c r="I10" s="14" t="s">
        <v>20</v>
      </c>
      <c r="J10" s="27">
        <f>B10+F10</f>
        <v>0</v>
      </c>
    </row>
    <row r="11" spans="1:11" ht="18.75" customHeight="1">
      <c r="A11" s="3" t="s">
        <v>4</v>
      </c>
      <c r="B11" s="22">
        <f>'[17]P&amp;L Monthly'!B8/0.01747</f>
        <v>10642.555809959933</v>
      </c>
      <c r="E11" s="3" t="s">
        <v>4</v>
      </c>
      <c r="F11" s="22">
        <f>'[18]P&amp;L Monthly'!B8*3.67</f>
        <v>2394.9062100000037</v>
      </c>
      <c r="I11" s="14" t="s">
        <v>4</v>
      </c>
      <c r="J11" s="27">
        <f>B11+F11</f>
        <v>13037.462019959938</v>
      </c>
    </row>
    <row r="12" spans="1:11" ht="18.75" customHeight="1">
      <c r="A12" s="5" t="s">
        <v>5</v>
      </c>
      <c r="B12" s="23">
        <f>'[17]P&amp;L Monthly'!B9/0.01747</f>
        <v>10642.555809959933</v>
      </c>
      <c r="E12" s="5" t="s">
        <v>14</v>
      </c>
      <c r="F12" s="23">
        <f>'[18]P&amp;L Monthly'!B9*3.67</f>
        <v>2394.9062100000037</v>
      </c>
      <c r="I12" s="11" t="s">
        <v>5</v>
      </c>
      <c r="J12" s="28">
        <f>F12+B12</f>
        <v>13037.462019959938</v>
      </c>
    </row>
    <row r="13" spans="1:11" ht="18.75" customHeight="1">
      <c r="A13" s="5" t="s">
        <v>6</v>
      </c>
      <c r="B13" s="23">
        <f>'[17]P&amp;L Monthly'!B10/0.01747</f>
        <v>2862.5437893531771</v>
      </c>
      <c r="E13" s="5" t="s">
        <v>15</v>
      </c>
      <c r="F13" s="23">
        <f>'[18]P&amp;L Monthly'!B10*3.67</f>
        <v>88.997500000000002</v>
      </c>
      <c r="I13" s="11" t="s">
        <v>6</v>
      </c>
      <c r="J13" s="28">
        <f>F13+B13</f>
        <v>2951.541289353177</v>
      </c>
      <c r="K13" s="17"/>
    </row>
    <row r="14" spans="1:11" ht="18.75" customHeight="1">
      <c r="A14" s="6" t="s">
        <v>7</v>
      </c>
      <c r="B14" s="24">
        <f>'[17]P&amp;L Monthly'!B11/0.01747</f>
        <v>49411.827409467674</v>
      </c>
      <c r="C14" s="20">
        <f>B14/(20000000/17.47)</f>
        <v>4.3161231242170008E-2</v>
      </c>
      <c r="E14" s="6" t="s">
        <v>7</v>
      </c>
      <c r="F14" s="24">
        <f>'[18]P&amp;L Monthly'!B11*3.67</f>
        <v>5267.8879243500387</v>
      </c>
      <c r="G14" s="32">
        <f>F14/(299960.64*3.67)</f>
        <v>4.7852671770536644E-3</v>
      </c>
      <c r="I14" s="12" t="s">
        <v>7</v>
      </c>
      <c r="J14" s="29">
        <f>J9+J12+J13</f>
        <v>54679.715333817709</v>
      </c>
      <c r="K14" s="18">
        <f>J14/((129967.82*3.67)+(20000000/17.47))</f>
        <v>3.3715416029248969E-2</v>
      </c>
    </row>
    <row r="15" spans="1:11" ht="18.75" customHeight="1">
      <c r="A15" s="9" t="s">
        <v>8</v>
      </c>
      <c r="B15" s="22"/>
      <c r="C15" s="21"/>
      <c r="E15" s="9" t="s">
        <v>8</v>
      </c>
      <c r="F15" s="22">
        <f>'[18]P&amp;L Monthly'!B12*3.67</f>
        <v>0</v>
      </c>
      <c r="G15" s="33"/>
      <c r="I15" s="13" t="s">
        <v>8</v>
      </c>
      <c r="J15" s="27"/>
      <c r="K15" s="17"/>
    </row>
    <row r="16" spans="1:11" ht="18.75" customHeight="1">
      <c r="A16" s="3" t="s">
        <v>9</v>
      </c>
      <c r="B16" s="22">
        <f>'[17]P&amp;L Monthly'!B13/0.01747</f>
        <v>-3878.944195764172</v>
      </c>
      <c r="C16" s="21"/>
      <c r="E16" s="3" t="s">
        <v>9</v>
      </c>
      <c r="F16" s="22">
        <f>'[18]P&amp;L Monthly'!B13*3.67</f>
        <v>-520.07569999999544</v>
      </c>
      <c r="G16" s="33"/>
      <c r="I16" s="14" t="s">
        <v>9</v>
      </c>
      <c r="J16" s="27">
        <f>F16+B16</f>
        <v>-4399.0198957641678</v>
      </c>
      <c r="K16" s="17"/>
    </row>
    <row r="17" spans="1:11" ht="18.75" customHeight="1">
      <c r="A17" s="3" t="s">
        <v>10</v>
      </c>
      <c r="B17" s="22">
        <f>'[17]P&amp;L Monthly'!B15/0.01747</f>
        <v>0</v>
      </c>
      <c r="C17" s="21"/>
      <c r="E17" s="3" t="s">
        <v>10</v>
      </c>
      <c r="F17" s="22">
        <f>'[18]P&amp;L Monthly'!B15*3.67</f>
        <v>-26.3506</v>
      </c>
      <c r="G17" s="33"/>
      <c r="I17" s="14" t="s">
        <v>10</v>
      </c>
      <c r="J17" s="27">
        <f>F17+B17</f>
        <v>-26.3506</v>
      </c>
    </row>
    <row r="18" spans="1:11" ht="18.75" customHeight="1">
      <c r="A18" s="6" t="s">
        <v>11</v>
      </c>
      <c r="B18" s="24">
        <f>'[17]P&amp;L Monthly'!B16/0.01747</f>
        <v>-3878.944195764172</v>
      </c>
      <c r="C18" s="21"/>
      <c r="E18" s="6" t="s">
        <v>11</v>
      </c>
      <c r="F18" s="24">
        <f>'[18]P&amp;L Monthly'!B16*3.67</f>
        <v>-546.42629999999542</v>
      </c>
      <c r="G18" s="33"/>
      <c r="I18" s="12" t="s">
        <v>11</v>
      </c>
      <c r="J18" s="29">
        <f>SUM(J16:J17)</f>
        <v>-4425.3704957641676</v>
      </c>
      <c r="K18" s="17"/>
    </row>
    <row r="19" spans="1:11" ht="18.75" customHeight="1">
      <c r="A19" s="19" t="s">
        <v>30</v>
      </c>
      <c r="B19" s="38">
        <f>B14+B18</f>
        <v>45532.883213703506</v>
      </c>
      <c r="C19" s="20">
        <f>B19/(20000000/17.47)</f>
        <v>3.9772973487170009E-2</v>
      </c>
      <c r="E19" s="19" t="s">
        <v>30</v>
      </c>
      <c r="F19" s="38">
        <f>F14+F18</f>
        <v>4721.4616243500432</v>
      </c>
      <c r="G19" s="32">
        <f>F19/(299960.64*3.67)</f>
        <v>4.2889020539495174E-3</v>
      </c>
      <c r="I19" s="37" t="s">
        <v>27</v>
      </c>
      <c r="J19" s="38">
        <f>J14+J18</f>
        <v>50254.344838053541</v>
      </c>
      <c r="K19" s="18">
        <f>J19/((129967.82*3.67)+(20000000/17.47))</f>
        <v>3.0986740387150755E-2</v>
      </c>
    </row>
    <row r="20" spans="1:11" ht="9" customHeight="1">
      <c r="A20" s="19"/>
      <c r="B20" s="38"/>
      <c r="C20" s="20"/>
      <c r="E20" s="19"/>
      <c r="F20" s="38"/>
      <c r="G20" s="32"/>
      <c r="I20" s="37"/>
      <c r="J20" s="38"/>
      <c r="K20" s="18"/>
    </row>
    <row r="21" spans="1:11" ht="18.75" customHeight="1">
      <c r="A21" s="37" t="s">
        <v>28</v>
      </c>
      <c r="B21" s="38">
        <f>B19*-0.25</f>
        <v>-11383.220803425877</v>
      </c>
      <c r="E21" s="37" t="s">
        <v>28</v>
      </c>
      <c r="F21" s="38">
        <f>F19*-0.25</f>
        <v>-1180.3654060875108</v>
      </c>
      <c r="I21" s="37" t="s">
        <v>28</v>
      </c>
      <c r="J21" s="38">
        <f>J19*-0.25</f>
        <v>-12563.586209513385</v>
      </c>
    </row>
    <row r="22" spans="1:11" ht="18" thickBot="1">
      <c r="A22" s="10" t="s">
        <v>13</v>
      </c>
      <c r="B22" s="26">
        <f>B19+B21</f>
        <v>34149.662410277626</v>
      </c>
      <c r="E22" s="10" t="s">
        <v>13</v>
      </c>
      <c r="F22" s="26">
        <f>F19+F21</f>
        <v>3541.0962182625326</v>
      </c>
      <c r="I22" s="16" t="s">
        <v>13</v>
      </c>
      <c r="J22" s="30">
        <f>J19+J21</f>
        <v>37690.758628540156</v>
      </c>
      <c r="K22" s="18">
        <f>J22/((129967.82*3.67)+(20000000/17.47))</f>
        <v>2.3240055290363066E-2</v>
      </c>
    </row>
    <row r="23" spans="1:11">
      <c r="A23" s="110" t="s">
        <v>33</v>
      </c>
      <c r="B23" s="111">
        <f>'[9]P&amp;L Monthly'!$N$17/0.01747</f>
        <v>11448.196908986834</v>
      </c>
      <c r="E23" s="110" t="s">
        <v>33</v>
      </c>
      <c r="F23" s="111">
        <f>'[10]P&amp;L Monthly'!$N$17*3.67</f>
        <v>6422.5</v>
      </c>
      <c r="I23" s="110" t="s">
        <v>33</v>
      </c>
      <c r="J23" s="111">
        <f>'[9]P&amp;L Monthly'!$J$17/0.01741</f>
        <v>12062.033314187251</v>
      </c>
    </row>
    <row r="24" spans="1:11" ht="18" thickBot="1">
      <c r="A24" s="10" t="s">
        <v>34</v>
      </c>
      <c r="B24" s="26">
        <f>B22-B23</f>
        <v>22701.46550129079</v>
      </c>
      <c r="C24" s="32">
        <f>B24/B23</f>
        <v>1.9829730115377504</v>
      </c>
      <c r="E24" s="10" t="s">
        <v>34</v>
      </c>
      <c r="F24" s="26">
        <f>F22-F23</f>
        <v>-2881.4037817374674</v>
      </c>
      <c r="G24" s="7">
        <f>F24/F23</f>
        <v>-0.44864208357142349</v>
      </c>
      <c r="I24" s="10" t="s">
        <v>34</v>
      </c>
      <c r="J24" s="26">
        <f>J22-J23</f>
        <v>25628.725314352905</v>
      </c>
      <c r="K24" s="18">
        <f>J24/J23</f>
        <v>2.1247433701089715</v>
      </c>
    </row>
    <row r="25" spans="1:11" ht="17.25">
      <c r="A25" s="6" t="s">
        <v>12</v>
      </c>
      <c r="B25" s="24">
        <v>0</v>
      </c>
      <c r="E25" s="6" t="s">
        <v>12</v>
      </c>
      <c r="F25" s="24">
        <v>0</v>
      </c>
      <c r="I25" s="39" t="s">
        <v>12</v>
      </c>
      <c r="J25" s="29">
        <f>('[16]Cash Movement'!$I7/17.47)-('[16]Cash Movement'!$I7/18.168)</f>
        <v>43983.055055442732</v>
      </c>
      <c r="K25" s="32">
        <f>J25/((30000000/17.47)+(199960.64*3.67))</f>
        <v>1.794431997565132E-2</v>
      </c>
    </row>
  </sheetData>
  <mergeCells count="6">
    <mergeCell ref="A2:B2"/>
    <mergeCell ref="E2:F2"/>
    <mergeCell ref="I2:J2"/>
    <mergeCell ref="A4:B5"/>
    <mergeCell ref="E4:F5"/>
    <mergeCell ref="I4:J5"/>
  </mergeCells>
  <phoneticPr fontId="49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topLeftCell="A2" zoomScale="80" zoomScaleNormal="80" workbookViewId="0">
      <selection activeCell="M10" sqref="M10"/>
    </sheetView>
  </sheetViews>
  <sheetFormatPr defaultRowHeight="15"/>
  <cols>
    <col min="1" max="1" width="29.5703125" bestFit="1" customWidth="1"/>
    <col min="2" max="2" width="20.85546875" customWidth="1"/>
    <col min="4" max="4" width="9.140625" customWidth="1"/>
    <col min="5" max="5" width="29.5703125" bestFit="1" customWidth="1"/>
    <col min="6" max="6" width="18.85546875" customWidth="1"/>
    <col min="9" max="9" width="29.5703125" bestFit="1" customWidth="1"/>
    <col min="10" max="10" width="20.5703125" customWidth="1"/>
    <col min="11" max="11" width="10.140625" bestFit="1" customWidth="1"/>
  </cols>
  <sheetData>
    <row r="1" spans="1:11" ht="18.75" customHeight="1" thickBot="1">
      <c r="A1" s="180" t="s">
        <v>16</v>
      </c>
      <c r="B1" s="181"/>
      <c r="E1" s="180" t="s">
        <v>17</v>
      </c>
      <c r="F1" s="181"/>
      <c r="I1" s="182" t="s">
        <v>18</v>
      </c>
      <c r="J1" s="183"/>
    </row>
    <row r="2" spans="1:11" ht="7.5" customHeight="1" thickBot="1"/>
    <row r="3" spans="1:11" ht="15" customHeight="1">
      <c r="A3" s="168" t="s">
        <v>35</v>
      </c>
      <c r="B3" s="169"/>
      <c r="E3" s="168" t="s">
        <v>35</v>
      </c>
      <c r="F3" s="169"/>
      <c r="I3" s="168" t="s">
        <v>35</v>
      </c>
      <c r="J3" s="169"/>
    </row>
    <row r="4" spans="1:11" ht="31.5" customHeight="1">
      <c r="A4" s="170"/>
      <c r="B4" s="171"/>
      <c r="E4" s="170"/>
      <c r="F4" s="171"/>
      <c r="I4" s="170"/>
      <c r="J4" s="171"/>
    </row>
    <row r="5" spans="1:11" ht="18.75" customHeight="1">
      <c r="A5" s="1" t="s">
        <v>0</v>
      </c>
      <c r="B5" s="2"/>
      <c r="E5" s="1" t="s">
        <v>0</v>
      </c>
      <c r="F5" s="2"/>
      <c r="I5" s="1" t="s">
        <v>0</v>
      </c>
      <c r="J5" s="2"/>
    </row>
    <row r="6" spans="1:11" ht="18.75" customHeight="1">
      <c r="A6" s="3" t="s">
        <v>1</v>
      </c>
      <c r="B6" s="22">
        <f>'October-17'!B6+'November-17'!B6+'December-17'!B6</f>
        <v>73836.132414915905</v>
      </c>
      <c r="E6" s="3" t="s">
        <v>1</v>
      </c>
      <c r="F6" s="22">
        <f>'October-17'!F6+'November-17'!F6+'December-17'!F6</f>
        <v>26336.422789999997</v>
      </c>
      <c r="I6" s="14" t="s">
        <v>1</v>
      </c>
      <c r="J6" s="27">
        <f>F6+B6</f>
        <v>100172.5552049159</v>
      </c>
    </row>
    <row r="7" spans="1:11" s="113" customFormat="1" ht="18.75" customHeight="1">
      <c r="A7" s="116" t="s">
        <v>37</v>
      </c>
      <c r="B7" s="117">
        <f>'October-17'!B7+'November-17'!B7+'December-17'!B7</f>
        <v>39961.33244071278</v>
      </c>
      <c r="E7" s="116" t="s">
        <v>37</v>
      </c>
      <c r="F7" s="117">
        <f>'October-17'!F7+'November-17'!F7+'December-17'!F7</f>
        <v>0</v>
      </c>
      <c r="I7" s="118" t="s">
        <v>37</v>
      </c>
      <c r="J7" s="119">
        <f>F7+B7</f>
        <v>39961.33244071278</v>
      </c>
    </row>
    <row r="8" spans="1:11" s="113" customFormat="1" ht="18.75" customHeight="1">
      <c r="A8" s="3" t="s">
        <v>40</v>
      </c>
      <c r="B8" s="117">
        <f>'October-17'!B8+'November-17'!B8+'December-17'!B8</f>
        <v>-2480.9143185738885</v>
      </c>
      <c r="E8" s="3" t="s">
        <v>40</v>
      </c>
      <c r="F8" s="117"/>
      <c r="I8" s="14" t="s">
        <v>40</v>
      </c>
      <c r="J8" s="119">
        <f>F8+B8</f>
        <v>-2480.9143185738885</v>
      </c>
    </row>
    <row r="9" spans="1:11" ht="18.75" customHeight="1">
      <c r="A9" s="3" t="s">
        <v>2</v>
      </c>
      <c r="B9" s="22">
        <f>'October-17'!B9+'November-17'!B9+'December-17'!B9</f>
        <v>10947.874712489061</v>
      </c>
      <c r="E9" s="3" t="s">
        <v>2</v>
      </c>
      <c r="F9" s="22">
        <f>'October-17'!F9+'November-17'!F9+'December-17'!F9</f>
        <v>0</v>
      </c>
      <c r="I9" s="14" t="s">
        <v>2</v>
      </c>
      <c r="J9" s="27">
        <f>F9+B9</f>
        <v>10947.874712489061</v>
      </c>
    </row>
    <row r="10" spans="1:11" ht="18.75" customHeight="1">
      <c r="A10" s="5" t="s">
        <v>3</v>
      </c>
      <c r="B10" s="23">
        <f>'October-17'!B10+'November-17'!B10+'December-17'!B10</f>
        <v>122264.42524954386</v>
      </c>
      <c r="E10" s="5" t="s">
        <v>3</v>
      </c>
      <c r="F10" s="23">
        <f>'October-17'!F10+'November-17'!F10+'December-17'!F10</f>
        <v>26336.422789999997</v>
      </c>
      <c r="I10" s="11" t="s">
        <v>3</v>
      </c>
      <c r="J10" s="28">
        <f>SUM(J6:J9)</f>
        <v>148600.84803954384</v>
      </c>
      <c r="K10" s="17"/>
    </row>
    <row r="11" spans="1:11" ht="18.75" customHeight="1">
      <c r="A11" s="3" t="s">
        <v>20</v>
      </c>
      <c r="B11" s="22">
        <f>'October-17'!B11+'November-17'!B11+'December-17'!B11</f>
        <v>0</v>
      </c>
      <c r="E11" s="3" t="s">
        <v>20</v>
      </c>
      <c r="F11" s="22">
        <f>'October-17'!F11+'November-17'!F11+'December-17'!F11</f>
        <v>0</v>
      </c>
      <c r="I11" s="14" t="s">
        <v>20</v>
      </c>
      <c r="J11" s="27">
        <f>B11+F11</f>
        <v>0</v>
      </c>
    </row>
    <row r="12" spans="1:11" ht="18.75" customHeight="1">
      <c r="A12" s="3" t="s">
        <v>4</v>
      </c>
      <c r="B12" s="22">
        <f>'October-17'!B12+'November-17'!B12+'December-17'!B12</f>
        <v>83657.995786159096</v>
      </c>
      <c r="E12" s="3" t="s">
        <v>4</v>
      </c>
      <c r="F12" s="22">
        <f>'October-17'!F12+'November-17'!F12+'December-17'!F12</f>
        <v>32735.226315649987</v>
      </c>
      <c r="I12" s="14" t="s">
        <v>4</v>
      </c>
      <c r="J12" s="27">
        <f>B12+F12</f>
        <v>116393.22210180908</v>
      </c>
    </row>
    <row r="13" spans="1:11" ht="18.75" customHeight="1">
      <c r="A13" s="5" t="s">
        <v>5</v>
      </c>
      <c r="B13" s="23">
        <f>'October-17'!B13+'November-17'!B13+'December-17'!B13</f>
        <v>83657.995786159096</v>
      </c>
      <c r="E13" s="5" t="s">
        <v>14</v>
      </c>
      <c r="F13" s="23">
        <f>'October-17'!F13+'November-17'!F13+'December-17'!F13</f>
        <v>32735.226315649987</v>
      </c>
      <c r="I13" s="11" t="s">
        <v>5</v>
      </c>
      <c r="J13" s="28">
        <f>F13+B13</f>
        <v>116393.22210180908</v>
      </c>
    </row>
    <row r="14" spans="1:11" ht="18.75" customHeight="1">
      <c r="A14" s="5" t="s">
        <v>6</v>
      </c>
      <c r="B14" s="23">
        <f>'October-17'!B14+'November-17'!B14+'December-17'!B14</f>
        <v>4380.8996800238256</v>
      </c>
      <c r="E14" s="5" t="s">
        <v>15</v>
      </c>
      <c r="F14" s="23">
        <f>'October-17'!F14+'November-17'!F14+'December-17'!F14</f>
        <v>1190.2910999999999</v>
      </c>
      <c r="I14" s="11" t="s">
        <v>6</v>
      </c>
      <c r="J14" s="28">
        <f>F14+B14</f>
        <v>5571.1907800238259</v>
      </c>
      <c r="K14" s="17"/>
    </row>
    <row r="15" spans="1:11" ht="18.75" customHeight="1">
      <c r="A15" s="6" t="s">
        <v>7</v>
      </c>
      <c r="B15" s="24">
        <f>'October-17'!B15+'November-17'!B15+'December-17'!B15</f>
        <v>210303.32071572676</v>
      </c>
      <c r="C15" s="20">
        <f>B15/(30000000/17.39)</f>
        <v>0.12190582490821629</v>
      </c>
      <c r="E15" s="6" t="s">
        <v>7</v>
      </c>
      <c r="F15" s="24">
        <f>'October-17'!F15+'November-17'!F15+'December-17'!F15</f>
        <v>60261.940205649989</v>
      </c>
      <c r="G15" s="32">
        <f>F15/(199960.64*3.67)</f>
        <v>8.2116896580246984E-2</v>
      </c>
      <c r="I15" s="12" t="s">
        <v>7</v>
      </c>
      <c r="J15" s="29">
        <f>J10+J13+J14</f>
        <v>270565.26092137676</v>
      </c>
      <c r="K15" s="18">
        <f>J15/((199960.64*3.67)+(30000000/17.39))</f>
        <v>0.11003128048281424</v>
      </c>
    </row>
    <row r="16" spans="1:11" ht="18.75" customHeight="1">
      <c r="A16" s="9" t="s">
        <v>8</v>
      </c>
      <c r="B16" s="22"/>
      <c r="C16" s="40"/>
      <c r="E16" s="9" t="s">
        <v>8</v>
      </c>
      <c r="F16" s="22">
        <f>'October-17'!F16+'November-17'!F16+'December-17'!F16</f>
        <v>0</v>
      </c>
      <c r="G16" s="33"/>
      <c r="I16" s="13" t="s">
        <v>8</v>
      </c>
      <c r="J16" s="27"/>
      <c r="K16" s="41"/>
    </row>
    <row r="17" spans="1:11" ht="18.75" customHeight="1">
      <c r="A17" s="3" t="s">
        <v>9</v>
      </c>
      <c r="B17" s="22">
        <f>'October-17'!B17+'November-17'!B17+'December-17'!B17</f>
        <v>-34549.130251945724</v>
      </c>
      <c r="C17" s="40"/>
      <c r="E17" s="3" t="s">
        <v>9</v>
      </c>
      <c r="F17" s="22">
        <f>'October-17'!F17+'November-17'!F17+'December-17'!F17</f>
        <v>-2854.1589999999997</v>
      </c>
      <c r="G17" s="33"/>
      <c r="I17" s="14" t="s">
        <v>9</v>
      </c>
      <c r="J17" s="27">
        <f>F17+B17</f>
        <v>-37403.289251945724</v>
      </c>
      <c r="K17" s="41"/>
    </row>
    <row r="18" spans="1:11" ht="18.75" customHeight="1">
      <c r="A18" s="3" t="s">
        <v>10</v>
      </c>
      <c r="B18" s="22">
        <f>'October-17'!B18+'November-17'!B18+'December-17'!B18</f>
        <v>0</v>
      </c>
      <c r="C18" s="40"/>
      <c r="E18" s="3" t="s">
        <v>10</v>
      </c>
      <c r="F18" s="22">
        <f>'October-17'!F18+'November-17'!F18+'December-17'!F18</f>
        <v>0</v>
      </c>
      <c r="G18" s="33"/>
      <c r="I18" s="14" t="s">
        <v>10</v>
      </c>
      <c r="J18" s="27">
        <f>F18+B18</f>
        <v>0</v>
      </c>
      <c r="K18" s="33"/>
    </row>
    <row r="19" spans="1:11" ht="18.75" customHeight="1">
      <c r="A19" s="6" t="s">
        <v>11</v>
      </c>
      <c r="B19" s="24">
        <f>'October-17'!B19+'November-17'!B19+'December-17'!B19</f>
        <v>-34549.130251945724</v>
      </c>
      <c r="C19" s="40"/>
      <c r="E19" s="6" t="s">
        <v>11</v>
      </c>
      <c r="F19" s="24">
        <f>'October-17'!F19+'November-17'!F19+'December-17'!F19</f>
        <v>-2854.1589999999997</v>
      </c>
      <c r="G19" s="33"/>
      <c r="I19" s="12" t="s">
        <v>11</v>
      </c>
      <c r="J19" s="29">
        <f>SUM(J17:J18)</f>
        <v>-37403.289251945724</v>
      </c>
      <c r="K19" s="41"/>
    </row>
    <row r="20" spans="1:11" ht="18.75" customHeight="1">
      <c r="A20" s="19" t="s">
        <v>30</v>
      </c>
      <c r="B20" s="38">
        <f>'October-17'!B20+'November-17'!B20+'December-17'!B20</f>
        <v>175754.19046378104</v>
      </c>
      <c r="C20" s="20">
        <f>B20/(30000000/17.39)</f>
        <v>0.10187884573883842</v>
      </c>
      <c r="E20" s="19" t="s">
        <v>30</v>
      </c>
      <c r="F20" s="38">
        <f>'October-17'!F20+'November-17'!F20+'December-17'!F20</f>
        <v>57407.781205649982</v>
      </c>
      <c r="G20" s="32">
        <f>F20/(199960.64*3.67)</f>
        <v>7.8227631172814782E-2</v>
      </c>
      <c r="I20" s="37" t="s">
        <v>27</v>
      </c>
      <c r="J20" s="38">
        <f>J15+J19</f>
        <v>233161.97166943102</v>
      </c>
      <c r="K20" s="18">
        <f>J20/((199960.64*3.67)+(30000000/17.39))</f>
        <v>9.482041491697725E-2</v>
      </c>
    </row>
    <row r="21" spans="1:11" ht="17.25">
      <c r="A21" s="19"/>
      <c r="B21" s="38">
        <f>'October-17'!B22+'November-17'!B22+'December-17'!B21</f>
        <v>0</v>
      </c>
      <c r="C21" s="20"/>
      <c r="E21" s="19"/>
      <c r="F21" s="38"/>
      <c r="G21" s="32"/>
      <c r="I21" s="37"/>
      <c r="J21" s="38"/>
      <c r="K21" s="31"/>
    </row>
    <row r="22" spans="1:11" ht="18.75" customHeight="1">
      <c r="A22" s="37" t="s">
        <v>28</v>
      </c>
      <c r="B22" s="38">
        <f>'October-17'!B23+'November-17'!B23+'December-17'!B22</f>
        <v>79707.061626966839</v>
      </c>
      <c r="E22" s="37" t="s">
        <v>28</v>
      </c>
      <c r="F22" s="38">
        <f>'October-17'!F22+'November-17'!F22+'December-17'!F22</f>
        <v>0</v>
      </c>
      <c r="I22" s="37" t="s">
        <v>28</v>
      </c>
      <c r="J22" s="38">
        <f>'October-17'!J22+'November-17'!J22+'December-17'!J22</f>
        <v>-58884.938077712053</v>
      </c>
    </row>
    <row r="23" spans="1:11" ht="18" thickBot="1">
      <c r="A23" s="10" t="s">
        <v>13</v>
      </c>
      <c r="B23" s="26">
        <f>'October-17'!B24+'November-17'!B24+'December-17'!B23</f>
        <v>96047.128836814198</v>
      </c>
      <c r="C23" s="20">
        <f>B23/(30000000/17.39)</f>
        <v>5.5675319015739966E-2</v>
      </c>
      <c r="E23" s="10" t="s">
        <v>13</v>
      </c>
      <c r="F23" s="26">
        <f>'October-17'!F23+'November-17'!F23+'December-17'!F23</f>
        <v>57407.781205649982</v>
      </c>
      <c r="G23" s="32">
        <f>F23/(199960.64*3.67)</f>
        <v>7.8227631172814782E-2</v>
      </c>
      <c r="I23" s="16" t="s">
        <v>13</v>
      </c>
      <c r="J23" s="30">
        <f>J20+J22</f>
        <v>174277.03359171897</v>
      </c>
      <c r="K23" s="18">
        <f>J23/((199960.64*3.67)+(30000000/17.39))</f>
        <v>7.0873567063051673E-2</v>
      </c>
    </row>
    <row r="24" spans="1:11" ht="18" thickBot="1">
      <c r="A24" s="160"/>
      <c r="B24" s="161">
        <f>'October-17'!B25+'November-17'!B25+'December-17'!B24</f>
        <v>34732.984667330646</v>
      </c>
      <c r="C24" s="20"/>
      <c r="E24" s="160"/>
      <c r="F24" s="161">
        <f>'October-17'!F24+'November-17'!F24+'December-17'!F24</f>
        <v>0</v>
      </c>
      <c r="G24" s="32"/>
      <c r="I24" s="162"/>
      <c r="J24" s="163"/>
      <c r="K24" s="18"/>
    </row>
    <row r="25" spans="1:11">
      <c r="A25" s="110" t="s">
        <v>33</v>
      </c>
      <c r="B25" s="111">
        <f>'October-17'!B26+'November-17'!B26+'December-17'!B25</f>
        <v>62225.37080667472</v>
      </c>
      <c r="E25" s="110" t="s">
        <v>33</v>
      </c>
      <c r="F25" s="111">
        <f>'October-17'!F25+'November-17'!F25+'December-17'!F25</f>
        <v>19634.5</v>
      </c>
      <c r="I25" s="110" t="s">
        <v>33</v>
      </c>
      <c r="J25" s="111">
        <f>F25+B25</f>
        <v>81859.87080667472</v>
      </c>
    </row>
    <row r="26" spans="1:11" ht="18" thickBot="1">
      <c r="A26" s="10" t="s">
        <v>34</v>
      </c>
      <c r="B26" s="26">
        <f>'October-17'!B27+'November-17'!B27+'December-17'!B26</f>
        <v>133817.73066442623</v>
      </c>
      <c r="C26" s="154">
        <f>B26/B25</f>
        <v>2.1505332781411406</v>
      </c>
      <c r="E26" s="10" t="s">
        <v>34</v>
      </c>
      <c r="F26" s="26">
        <f>'October-17'!F26+'November-17'!F26+'December-17'!F26</f>
        <v>37773.28120564999</v>
      </c>
      <c r="G26" s="32">
        <f>F26/F25</f>
        <v>1.9238219056074761</v>
      </c>
      <c r="I26" s="10" t="s">
        <v>34</v>
      </c>
      <c r="J26" s="26">
        <f>J23-J25</f>
        <v>92417.162785044246</v>
      </c>
      <c r="K26" s="155">
        <f>J26/J25</f>
        <v>1.1289678553647156</v>
      </c>
    </row>
    <row r="27" spans="1:11" ht="17.25">
      <c r="A27" s="6" t="s">
        <v>12</v>
      </c>
      <c r="B27" s="24">
        <f>'October-17'!B28+'November-17'!B28+'December-17'!B27</f>
        <v>48089.925466777291</v>
      </c>
      <c r="C27" s="32">
        <f>B27/((30000000/17.39))</f>
        <v>2.7876126795575239E-2</v>
      </c>
      <c r="E27" s="6" t="s">
        <v>12</v>
      </c>
      <c r="F27" s="24">
        <f>'October-17'!F27+'November-17'!F27+'December-17'!F27</f>
        <v>0</v>
      </c>
      <c r="I27" s="39" t="s">
        <v>12</v>
      </c>
      <c r="J27" s="29">
        <f>(30000000/17.39)-((20000000/18.168)+(10000000/17.355))</f>
        <v>48089.925466777291</v>
      </c>
      <c r="K27" s="32">
        <f>J27/((30000000/17.39)+(199960.64*3.67))</f>
        <v>1.955681989407437E-2</v>
      </c>
    </row>
  </sheetData>
  <mergeCells count="6">
    <mergeCell ref="A1:B1"/>
    <mergeCell ref="E1:F1"/>
    <mergeCell ref="I1:J1"/>
    <mergeCell ref="A3:B4"/>
    <mergeCell ref="E3:F4"/>
    <mergeCell ref="I3:J4"/>
  </mergeCells>
  <phoneticPr fontId="49" type="noConversion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"/>
  <sheetViews>
    <sheetView zoomScale="80" zoomScaleNormal="80" workbookViewId="0">
      <selection activeCell="E32" sqref="E32"/>
    </sheetView>
  </sheetViews>
  <sheetFormatPr defaultRowHeight="15"/>
  <cols>
    <col min="1" max="1" width="29.5703125" bestFit="1" customWidth="1"/>
    <col min="2" max="2" width="20.85546875" customWidth="1"/>
    <col min="4" max="4" width="9.140625" customWidth="1"/>
    <col min="5" max="5" width="29.5703125" bestFit="1" customWidth="1"/>
    <col min="6" max="6" width="18.85546875" customWidth="1"/>
    <col min="9" max="9" width="29.5703125" bestFit="1" customWidth="1"/>
    <col min="10" max="10" width="20.5703125" customWidth="1"/>
    <col min="11" max="11" width="10.140625" bestFit="1" customWidth="1"/>
  </cols>
  <sheetData>
    <row r="1" spans="1:11" ht="9" customHeight="1" thickBot="1"/>
    <row r="2" spans="1:11" ht="23.25" thickBot="1">
      <c r="A2" s="180" t="s">
        <v>16</v>
      </c>
      <c r="B2" s="181"/>
      <c r="E2" s="180" t="s">
        <v>17</v>
      </c>
      <c r="F2" s="181"/>
      <c r="I2" s="182" t="s">
        <v>18</v>
      </c>
      <c r="J2" s="183"/>
    </row>
    <row r="3" spans="1:11" ht="7.5" customHeight="1" thickBot="1"/>
    <row r="4" spans="1:11" ht="15" customHeight="1">
      <c r="A4" s="184" t="s">
        <v>29</v>
      </c>
      <c r="B4" s="185"/>
      <c r="E4" s="184" t="s">
        <v>29</v>
      </c>
      <c r="F4" s="185"/>
      <c r="I4" s="184" t="s">
        <v>29</v>
      </c>
      <c r="J4" s="185"/>
    </row>
    <row r="5" spans="1:11" ht="66" customHeight="1">
      <c r="A5" s="186"/>
      <c r="B5" s="187"/>
      <c r="E5" s="186"/>
      <c r="F5" s="187"/>
      <c r="I5" s="186"/>
      <c r="J5" s="187"/>
    </row>
    <row r="6" spans="1:11" ht="18.75" customHeight="1">
      <c r="A6" s="1" t="s">
        <v>0</v>
      </c>
      <c r="B6" s="2"/>
      <c r="E6" s="1" t="s">
        <v>0</v>
      </c>
      <c r="F6" s="2"/>
      <c r="I6" s="1" t="s">
        <v>0</v>
      </c>
      <c r="J6" s="2"/>
    </row>
    <row r="7" spans="1:11" ht="18.75" customHeight="1">
      <c r="A7" s="3" t="s">
        <v>1</v>
      </c>
      <c r="B7" s="22">
        <f>'July-17'!B7+'August-17'!B7+'September-17'!B7</f>
        <v>22141.816557721086</v>
      </c>
      <c r="E7" s="3" t="s">
        <v>1</v>
      </c>
      <c r="F7" s="22">
        <f>'July-17'!F7+'August-17'!F7+'September-17'!F7</f>
        <v>-4008.5875756499645</v>
      </c>
      <c r="I7" s="14" t="s">
        <v>1</v>
      </c>
      <c r="J7" s="27">
        <f>F7+B7</f>
        <v>18133.228982071123</v>
      </c>
    </row>
    <row r="8" spans="1:11" ht="18.75" customHeight="1">
      <c r="A8" s="3" t="s">
        <v>2</v>
      </c>
      <c r="B8" s="22">
        <f>'July-17'!B8+'August-17'!B8+'September-17'!B8</f>
        <v>-2595.2885109387175</v>
      </c>
      <c r="E8" s="3" t="s">
        <v>2</v>
      </c>
      <c r="F8" s="22">
        <f>'July-17'!F8+'August-17'!F8+'September-17'!F8</f>
        <v>0</v>
      </c>
      <c r="I8" s="14" t="s">
        <v>2</v>
      </c>
      <c r="J8" s="27">
        <f>F8+B8</f>
        <v>-2595.2885109387175</v>
      </c>
    </row>
    <row r="9" spans="1:11" ht="18.75" customHeight="1">
      <c r="A9" s="5" t="s">
        <v>3</v>
      </c>
      <c r="B9" s="23">
        <f>'July-17'!B9+'August-17'!B9+'September-17'!B9</f>
        <v>19546.528046782376</v>
      </c>
      <c r="E9" s="5" t="s">
        <v>3</v>
      </c>
      <c r="F9" s="23">
        <f>'July-17'!F9+'August-17'!F9+'September-17'!F9</f>
        <v>-4008.5875756499645</v>
      </c>
      <c r="I9" s="11" t="s">
        <v>3</v>
      </c>
      <c r="J9" s="28">
        <f>SUM(J7:J8)</f>
        <v>15537.940471132406</v>
      </c>
      <c r="K9" s="17"/>
    </row>
    <row r="10" spans="1:11" ht="18.75" customHeight="1">
      <c r="A10" s="3" t="s">
        <v>20</v>
      </c>
      <c r="B10" s="22">
        <f>'July-17'!B10+'August-17'!B10+'September-17'!B10</f>
        <v>0</v>
      </c>
      <c r="E10" s="3" t="s">
        <v>20</v>
      </c>
      <c r="F10" s="22">
        <f>'July-17'!F10+'August-17'!F10+'September-17'!F10</f>
        <v>0</v>
      </c>
      <c r="I10" s="14" t="s">
        <v>20</v>
      </c>
      <c r="J10" s="27">
        <f>B10+F10</f>
        <v>0</v>
      </c>
    </row>
    <row r="11" spans="1:11" ht="18.75" customHeight="1">
      <c r="A11" s="3" t="s">
        <v>4</v>
      </c>
      <c r="B11" s="22">
        <f>'July-17'!B11+'August-17'!B11+'September-17'!B11</f>
        <v>31048.262103592551</v>
      </c>
      <c r="E11" s="3" t="s">
        <v>4</v>
      </c>
      <c r="F11" s="22">
        <f>'July-17'!F11+'August-17'!F11+'September-17'!F11</f>
        <v>8651.8275540000013</v>
      </c>
      <c r="I11" s="14" t="s">
        <v>4</v>
      </c>
      <c r="J11" s="27">
        <f>B11+F11</f>
        <v>39700.089657592551</v>
      </c>
    </row>
    <row r="12" spans="1:11" ht="18.75" customHeight="1">
      <c r="A12" s="5" t="s">
        <v>5</v>
      </c>
      <c r="B12" s="23">
        <f>'July-17'!B12+'August-17'!B12+'September-17'!B12</f>
        <v>31048.262103592551</v>
      </c>
      <c r="E12" s="5" t="s">
        <v>14</v>
      </c>
      <c r="F12" s="23">
        <f>'July-17'!F12+'August-17'!F12+'September-17'!F12</f>
        <v>8651.8275540000013</v>
      </c>
      <c r="I12" s="11" t="s">
        <v>5</v>
      </c>
      <c r="J12" s="28">
        <f>F12+B12</f>
        <v>39700.089657592551</v>
      </c>
    </row>
    <row r="13" spans="1:11" ht="18.75" customHeight="1">
      <c r="A13" s="5" t="s">
        <v>6</v>
      </c>
      <c r="B13" s="23">
        <f>'July-17'!B13+'August-17'!B13+'September-17'!B13</f>
        <v>5576.2058103199179</v>
      </c>
      <c r="E13" s="5" t="s">
        <v>15</v>
      </c>
      <c r="F13" s="23">
        <f>'July-17'!F13+'August-17'!F13+'September-17'!F13</f>
        <v>879.1851999999999</v>
      </c>
      <c r="I13" s="11" t="s">
        <v>6</v>
      </c>
      <c r="J13" s="28">
        <f>F13+B13</f>
        <v>6455.3910103199178</v>
      </c>
      <c r="K13" s="17"/>
    </row>
    <row r="14" spans="1:11" ht="18.75" customHeight="1">
      <c r="A14" s="6" t="s">
        <v>7</v>
      </c>
      <c r="B14" s="24">
        <f>'July-17'!B14+'August-17'!B14+'September-17'!B14</f>
        <v>56170.995960694847</v>
      </c>
      <c r="C14" s="20">
        <f>B14/(30000000/17.77)</f>
        <v>3.327195327405158E-2</v>
      </c>
      <c r="E14" s="6" t="s">
        <v>7</v>
      </c>
      <c r="F14" s="24">
        <f>'July-17'!F14+'August-17'!F14+'September-17'!F14</f>
        <v>5522.4251783500367</v>
      </c>
      <c r="G14" s="32">
        <f>F14/(199960.64*3.67)</f>
        <v>7.5252209884905854E-3</v>
      </c>
      <c r="I14" s="12" t="s">
        <v>7</v>
      </c>
      <c r="J14" s="29">
        <f>J9+J12+J13</f>
        <v>61693.421139044876</v>
      </c>
      <c r="K14" s="18">
        <f>J14/((199960.64*3.67)+(30000000/17.77))</f>
        <v>2.5471107742779858E-2</v>
      </c>
    </row>
    <row r="15" spans="1:11" ht="18.75" customHeight="1">
      <c r="A15" s="9" t="s">
        <v>8</v>
      </c>
      <c r="B15" s="22"/>
      <c r="C15" s="40"/>
      <c r="E15" s="9" t="s">
        <v>8</v>
      </c>
      <c r="F15" s="22"/>
      <c r="G15" s="33"/>
      <c r="I15" s="13" t="s">
        <v>8</v>
      </c>
      <c r="J15" s="27"/>
      <c r="K15" s="41"/>
    </row>
    <row r="16" spans="1:11" ht="18.75" customHeight="1">
      <c r="A16" s="3" t="s">
        <v>9</v>
      </c>
      <c r="B16" s="22">
        <f>'July-17'!B16+'August-17'!B16+'September-17'!B16</f>
        <v>-14885.10378347902</v>
      </c>
      <c r="C16" s="40"/>
      <c r="E16" s="3" t="s">
        <v>9</v>
      </c>
      <c r="F16" s="22">
        <f>'July-17'!F16+'August-17'!F16+'September-17'!F16</f>
        <v>-2047.8966999999955</v>
      </c>
      <c r="G16" s="33"/>
      <c r="I16" s="14" t="s">
        <v>9</v>
      </c>
      <c r="J16" s="27">
        <f>F16+B16</f>
        <v>-16933.000483479016</v>
      </c>
      <c r="K16" s="41"/>
    </row>
    <row r="17" spans="1:11" ht="18.75" customHeight="1">
      <c r="A17" s="3" t="s">
        <v>10</v>
      </c>
      <c r="B17" s="22">
        <f>'July-17'!B17+'August-17'!B17+'September-17'!B17</f>
        <v>-6777.7139574956927</v>
      </c>
      <c r="C17" s="40"/>
      <c r="E17" s="3" t="s">
        <v>10</v>
      </c>
      <c r="F17" s="22">
        <f>'July-17'!F17+'August-17'!F17+'September-17'!F17</f>
        <v>-26.3506</v>
      </c>
      <c r="G17" s="33"/>
      <c r="I17" s="14" t="s">
        <v>10</v>
      </c>
      <c r="J17" s="27">
        <f>F17+B17</f>
        <v>-6804.0645574956925</v>
      </c>
      <c r="K17" s="33"/>
    </row>
    <row r="18" spans="1:11" ht="18.75" customHeight="1">
      <c r="A18" s="6" t="s">
        <v>11</v>
      </c>
      <c r="B18" s="24">
        <f>'July-17'!B18+'August-17'!B18+'September-17'!B18</f>
        <v>-21662.817740974715</v>
      </c>
      <c r="C18" s="40"/>
      <c r="E18" s="6" t="s">
        <v>11</v>
      </c>
      <c r="F18" s="24">
        <f>'July-17'!F18+'August-17'!F18+'September-17'!F18</f>
        <v>-2074.2472999999954</v>
      </c>
      <c r="G18" s="33"/>
      <c r="I18" s="12" t="s">
        <v>11</v>
      </c>
      <c r="J18" s="29">
        <f>SUM(J16:J17)</f>
        <v>-23737.06504097471</v>
      </c>
      <c r="K18" s="41"/>
    </row>
    <row r="19" spans="1:11" ht="18.75" customHeight="1">
      <c r="A19" s="19" t="s">
        <v>30</v>
      </c>
      <c r="B19" s="38">
        <f>'July-17'!B19+'August-17'!B19+'September-17'!B19</f>
        <v>34508.178219720139</v>
      </c>
      <c r="C19" s="20">
        <f>B19/(30000000/17.77)</f>
        <v>2.0440344232147561E-2</v>
      </c>
      <c r="E19" s="19" t="s">
        <v>30</v>
      </c>
      <c r="F19" s="38">
        <f>'July-17'!F19+'August-17'!F19+'September-17'!F19</f>
        <v>3448.1778783500404</v>
      </c>
      <c r="G19" s="32">
        <f>F19/(199960.64*3.67)</f>
        <v>4.6987147320593243E-3</v>
      </c>
      <c r="I19" s="37" t="s">
        <v>27</v>
      </c>
      <c r="J19" s="38">
        <f>J14+J18</f>
        <v>37956.356098070166</v>
      </c>
      <c r="K19" s="18">
        <f>J19/((199960.64*3.67)+(30000000/17.77))</f>
        <v>1.5670883829222378E-2</v>
      </c>
    </row>
    <row r="20" spans="1:11" ht="8.25" customHeight="1">
      <c r="A20" s="19"/>
      <c r="B20" s="38"/>
      <c r="C20" s="20"/>
      <c r="E20" s="19"/>
      <c r="F20" s="38"/>
      <c r="G20" s="32"/>
      <c r="I20" s="37"/>
      <c r="J20" s="38"/>
      <c r="K20" s="31"/>
    </row>
    <row r="21" spans="1:11" ht="18.75" customHeight="1">
      <c r="A21" s="37" t="s">
        <v>28</v>
      </c>
      <c r="B21" s="38">
        <f>'July-17'!B21+'August-17'!B21+'September-17'!B21</f>
        <v>-15693.375019433191</v>
      </c>
      <c r="E21" s="37" t="s">
        <v>28</v>
      </c>
      <c r="F21" s="38">
        <f>'July-17'!F21+'August-17'!F21+'September-17'!F21</f>
        <v>-1856.8665985875114</v>
      </c>
      <c r="I21" s="37" t="s">
        <v>28</v>
      </c>
      <c r="J21" s="38">
        <f>F21+B21</f>
        <v>-17550.241618020704</v>
      </c>
    </row>
    <row r="22" spans="1:11" ht="18" thickBot="1">
      <c r="A22" s="10" t="s">
        <v>13</v>
      </c>
      <c r="B22" s="26">
        <f>'July-17'!B22+'August-17'!B22+'September-17'!B22</f>
        <v>18814.803200286944</v>
      </c>
      <c r="C22" s="20">
        <f>B22/(30000000/17.77)</f>
        <v>1.1144635095636632E-2</v>
      </c>
      <c r="E22" s="10" t="s">
        <v>13</v>
      </c>
      <c r="F22" s="26">
        <f>'July-17'!F22+'August-17'!F22+'September-17'!F22</f>
        <v>1591.311279762529</v>
      </c>
      <c r="G22" s="32">
        <f>F22/(199960.64*3.67)</f>
        <v>2.1684257649405799E-3</v>
      </c>
      <c r="I22" s="16" t="s">
        <v>13</v>
      </c>
      <c r="J22" s="30">
        <f>J19+J21</f>
        <v>20406.114480049462</v>
      </c>
      <c r="K22" s="18">
        <f>J22/((199960.64*3.67)+(30000000/17.77))</f>
        <v>8.4249881257417811E-3</v>
      </c>
    </row>
    <row r="23" spans="1:11">
      <c r="A23" s="110" t="s">
        <v>33</v>
      </c>
      <c r="B23" s="111">
        <f>'July-17'!B23+'August-17'!B23+'September-17'!B23</f>
        <v>35890.646655363162</v>
      </c>
      <c r="E23" s="110" t="s">
        <v>33</v>
      </c>
      <c r="F23" s="111">
        <f>'July-17'!F23+'August-17'!F23+'September-17'!F23</f>
        <v>19267.5</v>
      </c>
      <c r="I23" s="110" t="s">
        <v>33</v>
      </c>
      <c r="J23" s="111">
        <f>F23+B23</f>
        <v>55158.146655363162</v>
      </c>
    </row>
    <row r="24" spans="1:11" ht="18" thickBot="1">
      <c r="A24" s="10" t="s">
        <v>34</v>
      </c>
      <c r="B24" s="26">
        <f>B22-B23</f>
        <v>-17075.843455076218</v>
      </c>
      <c r="C24" s="7">
        <f>B24/B23</f>
        <v>-0.4757741931775577</v>
      </c>
      <c r="E24" s="10" t="s">
        <v>34</v>
      </c>
      <c r="F24" s="26">
        <f>F22-F23</f>
        <v>-17676.188720237471</v>
      </c>
      <c r="G24" s="7">
        <f>F24/F23</f>
        <v>-0.91740956119047468</v>
      </c>
      <c r="I24" s="10" t="s">
        <v>34</v>
      </c>
      <c r="J24" s="26">
        <f>J22-J23</f>
        <v>-34752.032175313696</v>
      </c>
      <c r="K24" s="31">
        <f>J24/J23</f>
        <v>-0.63004350730726866</v>
      </c>
    </row>
    <row r="25" spans="1:11" ht="17.25">
      <c r="A25" s="6" t="s">
        <v>12</v>
      </c>
      <c r="B25" s="24">
        <f>'July-17'!B25+'August-17'!B25+'September-17'!B25</f>
        <v>0</v>
      </c>
      <c r="E25" s="6" t="s">
        <v>12</v>
      </c>
      <c r="F25" s="24">
        <f>'July-17'!F25+'August-17'!F25+'September-17'!F25</f>
        <v>0</v>
      </c>
      <c r="I25" s="39" t="s">
        <v>12</v>
      </c>
      <c r="J25" s="29">
        <f>(30000000/17.77)-((20000000/18.168)+(10000000/17.355))</f>
        <v>11199.145152345067</v>
      </c>
      <c r="K25" s="32">
        <f>J25/((30000000/17.77)+(199960.64*3.67))</f>
        <v>4.623744761366109E-3</v>
      </c>
    </row>
  </sheetData>
  <mergeCells count="6">
    <mergeCell ref="A2:B2"/>
    <mergeCell ref="E2:F2"/>
    <mergeCell ref="I2:J2"/>
    <mergeCell ref="A4:B5"/>
    <mergeCell ref="E4:F5"/>
    <mergeCell ref="I4:J5"/>
  </mergeCells>
  <phoneticPr fontId="49" type="noConversion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1"/>
  <sheetViews>
    <sheetView topLeftCell="A4" zoomScale="80" zoomScaleNormal="80" workbookViewId="0">
      <selection activeCell="B21" sqref="B21"/>
    </sheetView>
  </sheetViews>
  <sheetFormatPr defaultRowHeight="15"/>
  <cols>
    <col min="1" max="1" width="26.7109375" customWidth="1"/>
    <col min="2" max="2" width="20.85546875" customWidth="1"/>
    <col min="5" max="5" width="27.140625" customWidth="1"/>
    <col min="6" max="6" width="18.85546875" customWidth="1"/>
    <col min="9" max="9" width="27.140625" customWidth="1"/>
    <col min="10" max="10" width="20.5703125" customWidth="1"/>
  </cols>
  <sheetData>
    <row r="1" spans="1:11" ht="15.75" thickBot="1"/>
    <row r="2" spans="1:11" ht="23.25" thickBot="1">
      <c r="A2" s="180" t="s">
        <v>16</v>
      </c>
      <c r="B2" s="181"/>
      <c r="E2" s="180" t="s">
        <v>17</v>
      </c>
      <c r="F2" s="181"/>
      <c r="I2" s="182" t="s">
        <v>18</v>
      </c>
      <c r="J2" s="183"/>
    </row>
    <row r="3" spans="1:11" ht="7.5" customHeight="1" thickBot="1"/>
    <row r="4" spans="1:11" ht="15" customHeight="1">
      <c r="A4" s="184" t="s">
        <v>22</v>
      </c>
      <c r="B4" s="185"/>
      <c r="E4" s="184" t="s">
        <v>22</v>
      </c>
      <c r="F4" s="185"/>
      <c r="I4" s="184" t="s">
        <v>22</v>
      </c>
      <c r="J4" s="185"/>
    </row>
    <row r="5" spans="1:11" ht="66" customHeight="1">
      <c r="A5" s="186"/>
      <c r="B5" s="187"/>
      <c r="E5" s="186"/>
      <c r="F5" s="187"/>
      <c r="I5" s="186"/>
      <c r="J5" s="187"/>
    </row>
    <row r="6" spans="1:11" ht="18.75" customHeight="1">
      <c r="A6" s="1" t="s">
        <v>0</v>
      </c>
      <c r="B6" s="2"/>
      <c r="E6" s="1" t="s">
        <v>0</v>
      </c>
      <c r="F6" s="2"/>
      <c r="I6" s="1" t="s">
        <v>0</v>
      </c>
      <c r="J6" s="2"/>
    </row>
    <row r="7" spans="1:11" ht="18.75" customHeight="1">
      <c r="A7" s="3" t="s">
        <v>1</v>
      </c>
      <c r="B7" s="22">
        <f>'[19]P&amp;L Quarter'!B4/0.01759</f>
        <v>-18266.591813530409</v>
      </c>
      <c r="E7" s="3" t="s">
        <v>1</v>
      </c>
      <c r="F7" s="22">
        <f>'[20]P&amp;L Quarterly'!B4*3.67</f>
        <v>-5063.3111143500391</v>
      </c>
      <c r="I7" s="14" t="s">
        <v>1</v>
      </c>
      <c r="J7" s="27">
        <f>F7+B7</f>
        <v>-23329.902927880448</v>
      </c>
    </row>
    <row r="8" spans="1:11" ht="18.75" customHeight="1">
      <c r="A8" s="3" t="s">
        <v>2</v>
      </c>
      <c r="B8" s="22">
        <f>'[19]P&amp;L Quarter'!B5/0.01759</f>
        <v>-12941.929290358175</v>
      </c>
      <c r="E8" s="3" t="s">
        <v>2</v>
      </c>
      <c r="F8" s="22">
        <v>0</v>
      </c>
      <c r="I8" s="14" t="s">
        <v>2</v>
      </c>
      <c r="J8" s="27">
        <f>F8+B8</f>
        <v>-12941.929290358175</v>
      </c>
    </row>
    <row r="9" spans="1:11" ht="18.75" customHeight="1">
      <c r="A9" s="5" t="s">
        <v>3</v>
      </c>
      <c r="B9" s="23">
        <f>'[19]P&amp;L Quarter'!B6/0.01759</f>
        <v>-31208.521103888586</v>
      </c>
      <c r="E9" s="5" t="s">
        <v>3</v>
      </c>
      <c r="F9" s="23">
        <f>'[20]P&amp;L Quarterly'!B6*3.67</f>
        <v>-5063.3111143500391</v>
      </c>
      <c r="I9" s="11" t="s">
        <v>3</v>
      </c>
      <c r="J9" s="28">
        <f>SUM(J7:J8)</f>
        <v>-36271.832218238626</v>
      </c>
      <c r="K9" s="17"/>
    </row>
    <row r="10" spans="1:11" ht="18.75" customHeight="1">
      <c r="A10" s="3" t="s">
        <v>20</v>
      </c>
      <c r="B10" s="22">
        <v>0</v>
      </c>
      <c r="E10" s="3" t="s">
        <v>20</v>
      </c>
      <c r="F10" s="22">
        <f>'[20]P&amp;L Quarterly'!B7*3.67</f>
        <v>0</v>
      </c>
      <c r="I10" s="14" t="s">
        <v>20</v>
      </c>
      <c r="J10" s="27">
        <f>B10+F10</f>
        <v>0</v>
      </c>
    </row>
    <row r="11" spans="1:11" ht="18.75" customHeight="1">
      <c r="A11" s="3" t="s">
        <v>4</v>
      </c>
      <c r="B11" s="22">
        <f>'[19]P&amp;L Quarter'!B8/0.01759</f>
        <v>58089.258101193853</v>
      </c>
      <c r="E11" s="3" t="s">
        <v>4</v>
      </c>
      <c r="F11" s="22">
        <f>'[20]P&amp;L Quarterly'!B8*3.67</f>
        <v>9819.5951300000033</v>
      </c>
      <c r="I11" s="14" t="s">
        <v>4</v>
      </c>
      <c r="J11" s="27">
        <f>B11+F11</f>
        <v>67908.853231193862</v>
      </c>
    </row>
    <row r="12" spans="1:11" ht="18.75" customHeight="1">
      <c r="A12" s="5" t="s">
        <v>5</v>
      </c>
      <c r="B12" s="23">
        <f>'[19]P&amp;L Quarter'!B9/0.01759</f>
        <v>58089.258101193853</v>
      </c>
      <c r="E12" s="5" t="s">
        <v>14</v>
      </c>
      <c r="F12" s="23">
        <f>'[20]P&amp;L Quarterly'!B9*3.67</f>
        <v>9819.5951300000033</v>
      </c>
      <c r="I12" s="11" t="s">
        <v>5</v>
      </c>
      <c r="J12" s="28">
        <f>F12+B12</f>
        <v>67908.853231193862</v>
      </c>
    </row>
    <row r="13" spans="1:11" ht="18.75" customHeight="1">
      <c r="A13" s="5" t="s">
        <v>6</v>
      </c>
      <c r="B13" s="23">
        <f>'[19]P&amp;L Quarter'!B10/0.01759</f>
        <v>1495.812961910176</v>
      </c>
      <c r="E13" s="5" t="s">
        <v>15</v>
      </c>
      <c r="F13" s="23">
        <f>'[20]P&amp;L Quarterly'!B10*3.67</f>
        <v>492.91770000000002</v>
      </c>
      <c r="I13" s="11" t="s">
        <v>6</v>
      </c>
      <c r="J13" s="28">
        <f>F13+B13</f>
        <v>1988.730661910176</v>
      </c>
      <c r="K13" s="17"/>
    </row>
    <row r="14" spans="1:11" ht="18.75" customHeight="1">
      <c r="A14" s="6" t="s">
        <v>7</v>
      </c>
      <c r="B14" s="24">
        <f>'[19]P&amp;L Quarter'!B11/0.01759</f>
        <v>28376.549959215441</v>
      </c>
      <c r="C14" s="20">
        <f>B14/(20000000/17.59)</f>
        <v>2.495717568912998E-2</v>
      </c>
      <c r="E14" s="6" t="s">
        <v>7</v>
      </c>
      <c r="F14" s="24">
        <f>'[20]P&amp;L Quarterly'!B11*3.67</f>
        <v>5249.2017156499642</v>
      </c>
      <c r="G14" s="32">
        <f>F14/(129967.82*3.67)</f>
        <v>1.1005033361335062E-2</v>
      </c>
      <c r="I14" s="12" t="s">
        <v>7</v>
      </c>
      <c r="J14" s="29">
        <f>J9+J12+J13</f>
        <v>33625.751674865409</v>
      </c>
      <c r="K14" s="18">
        <f>J14/((129967.82*3.67)+(20000000/17.59))</f>
        <v>2.0833907949247076E-2</v>
      </c>
    </row>
    <row r="15" spans="1:11" ht="18.75" customHeight="1">
      <c r="A15" s="9" t="s">
        <v>8</v>
      </c>
      <c r="B15" s="22"/>
      <c r="C15" s="21"/>
      <c r="E15" s="9" t="s">
        <v>8</v>
      </c>
      <c r="F15" s="22"/>
      <c r="G15" s="33"/>
      <c r="I15" s="13" t="s">
        <v>8</v>
      </c>
      <c r="J15" s="27"/>
      <c r="K15" s="17"/>
    </row>
    <row r="16" spans="1:11" ht="18.75" customHeight="1">
      <c r="A16" s="3" t="s">
        <v>9</v>
      </c>
      <c r="B16" s="22">
        <f>'[19]P&amp;L Quarter'!B13/0.01759</f>
        <v>-17360.499306424092</v>
      </c>
      <c r="C16" s="21"/>
      <c r="E16" s="3" t="s">
        <v>9</v>
      </c>
      <c r="F16" s="22">
        <f>-'[20]P&amp;L Quarterly'!B13*3.67</f>
        <v>-2057.8783843499941</v>
      </c>
      <c r="G16" s="33"/>
      <c r="I16" s="14" t="s">
        <v>9</v>
      </c>
      <c r="J16" s="27">
        <f>F16+B16</f>
        <v>-19418.377690774087</v>
      </c>
      <c r="K16" s="17"/>
    </row>
    <row r="17" spans="1:11" ht="18.75" customHeight="1">
      <c r="A17" s="3" t="s">
        <v>21</v>
      </c>
      <c r="B17" s="22">
        <v>0</v>
      </c>
      <c r="C17" s="21"/>
      <c r="E17" s="3" t="s">
        <v>21</v>
      </c>
      <c r="F17" s="22">
        <v>0</v>
      </c>
      <c r="G17" s="33"/>
      <c r="I17" s="14" t="s">
        <v>21</v>
      </c>
      <c r="J17" s="27">
        <v>-30000</v>
      </c>
    </row>
    <row r="18" spans="1:11" ht="18.75" customHeight="1">
      <c r="A18" s="3" t="s">
        <v>10</v>
      </c>
      <c r="B18" s="22">
        <f>'[19]P&amp;L Quarter'!B15/0.01759</f>
        <v>0</v>
      </c>
      <c r="C18" s="21"/>
      <c r="E18" s="3" t="s">
        <v>10</v>
      </c>
      <c r="F18" s="22">
        <f>'[20]P&amp;L Quarterly'!B15*3.67</f>
        <v>-118.1006</v>
      </c>
      <c r="G18" s="33"/>
      <c r="I18" s="14" t="s">
        <v>10</v>
      </c>
      <c r="J18" s="27">
        <f>F18+B18</f>
        <v>-118.1006</v>
      </c>
    </row>
    <row r="19" spans="1:11" ht="18.75" customHeight="1">
      <c r="A19" s="6" t="s">
        <v>11</v>
      </c>
      <c r="B19" s="24">
        <f>'[19]P&amp;L Quarter'!B16/0.01759</f>
        <v>-17360.499306424092</v>
      </c>
      <c r="C19" s="21"/>
      <c r="E19" s="6" t="s">
        <v>11</v>
      </c>
      <c r="F19" s="24">
        <f>'[20]P&amp;L Quarterly'!B16*3.67</f>
        <v>1939.7777843499946</v>
      </c>
      <c r="G19" s="33"/>
      <c r="I19" s="12" t="s">
        <v>11</v>
      </c>
      <c r="J19" s="29">
        <f>SUM(J16:J18)</f>
        <v>-49536.478290774081</v>
      </c>
      <c r="K19" s="17"/>
    </row>
    <row r="20" spans="1:11" ht="18.75" customHeight="1">
      <c r="A20" s="19" t="s">
        <v>12</v>
      </c>
      <c r="B20" s="25">
        <v>0</v>
      </c>
      <c r="C20" s="20"/>
      <c r="E20" s="19" t="s">
        <v>12</v>
      </c>
      <c r="F20" s="25">
        <v>0</v>
      </c>
      <c r="G20" s="33"/>
      <c r="I20" s="15" t="s">
        <v>12</v>
      </c>
      <c r="J20" s="29">
        <f>('[16]Cash Movement'!$I7/17.59)-('[16]Cash Movement'!$I7/18.168)</f>
        <v>36173.028738908004</v>
      </c>
      <c r="K20" s="18">
        <f>J20/(20000000/17.59)</f>
        <v>3.1814178775869589E-2</v>
      </c>
    </row>
    <row r="21" spans="1:11" ht="18.75" customHeight="1" thickBot="1">
      <c r="A21" s="10" t="s">
        <v>13</v>
      </c>
      <c r="B21" s="26">
        <f>'[19]P&amp;L Quarter'!B18/0.01759</f>
        <v>11016.050652791349</v>
      </c>
      <c r="C21" s="20">
        <f>B21/(20000000/17.59)</f>
        <v>9.6886165491299921E-3</v>
      </c>
      <c r="E21" s="10" t="s">
        <v>13</v>
      </c>
      <c r="F21" s="26">
        <f>'[20]P&amp;L Quarterly'!B18*3.67</f>
        <v>7188.9794999999585</v>
      </c>
      <c r="G21" s="32">
        <f>F21/(129967.82*3.67)</f>
        <v>1.5071807775186109E-2</v>
      </c>
      <c r="I21" s="16" t="s">
        <v>19</v>
      </c>
      <c r="J21" s="30">
        <f>J14+J19+J20</f>
        <v>20262.302122999332</v>
      </c>
      <c r="K21" s="18">
        <f>J21/((129967.82*3.67)+(20000000/17.59))</f>
        <v>1.2554156152468859E-2</v>
      </c>
    </row>
  </sheetData>
  <mergeCells count="6">
    <mergeCell ref="A2:B2"/>
    <mergeCell ref="E2:F2"/>
    <mergeCell ref="I2:J2"/>
    <mergeCell ref="A4:B5"/>
    <mergeCell ref="E4:F5"/>
    <mergeCell ref="I4:J5"/>
  </mergeCells>
  <phoneticPr fontId="4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December-17</vt:lpstr>
      <vt:lpstr>November-17</vt:lpstr>
      <vt:lpstr>October-17</vt:lpstr>
      <vt:lpstr>September-17</vt:lpstr>
      <vt:lpstr>August-17</vt:lpstr>
      <vt:lpstr>July-17</vt:lpstr>
      <vt:lpstr>Q4 - Oct to Dec'17</vt:lpstr>
      <vt:lpstr>Q3 - Jul to Sept'17</vt:lpstr>
      <vt:lpstr>Q2 - Apr to Jun'17</vt:lpstr>
      <vt:lpstr>Q1 - Jan to Mar'17</vt:lpstr>
      <vt:lpstr>2017</vt:lpstr>
      <vt:lpstr>2016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Abizher Mohamed</dc:creator>
  <cp:lastModifiedBy>Mohamed Abizher Mohamed</cp:lastModifiedBy>
  <dcterms:created xsi:type="dcterms:W3CDTF">2017-02-02T20:08:09Z</dcterms:created>
  <dcterms:modified xsi:type="dcterms:W3CDTF">2024-05-22T02:10:42Z</dcterms:modified>
</cp:coreProperties>
</file>