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28" yWindow="7428" windowWidth="20388" windowHeight="6768" tabRatio="613"/>
  </bookViews>
  <sheets>
    <sheet name="Instruction" sheetId="16" r:id="rId1"/>
    <sheet name="Spreadsheet" sheetId="7" r:id="rId2"/>
    <sheet name="lift coefficient" sheetId="11" r:id="rId3"/>
    <sheet name="down wind" sheetId="14" r:id="rId4"/>
    <sheet name="angle of incidence" sheetId="9" r:id="rId5"/>
  </sheets>
  <definedNames>
    <definedName name="_xlnm.Print_Area" localSheetId="0">Instruction!$A$1:$A$27</definedName>
    <definedName name="_xlnm.Print_Area" localSheetId="1">Spreadsheet!$A$1:$P$135</definedName>
  </definedNames>
  <calcPr calcId="145621"/>
</workbook>
</file>

<file path=xl/calcChain.xml><?xml version="1.0" encoding="utf-8"?>
<calcChain xmlns="http://schemas.openxmlformats.org/spreadsheetml/2006/main">
  <c r="E83" i="7" l="1"/>
  <c r="E82" i="7" l="1"/>
  <c r="E78" i="7" l="1"/>
  <c r="E81" i="7" l="1"/>
  <c r="E77" i="7" l="1"/>
  <c r="E51" i="7"/>
  <c r="F51" i="7" s="1"/>
  <c r="G51" i="7" s="1"/>
  <c r="H51" i="7" s="1"/>
  <c r="I51" i="7" s="1"/>
  <c r="J51" i="7" s="1"/>
  <c r="K51" i="7" s="1"/>
  <c r="L51" i="7" s="1"/>
  <c r="M51" i="7" s="1"/>
  <c r="N51" i="7" s="1"/>
  <c r="O51" i="7" s="1"/>
  <c r="E37" i="7"/>
  <c r="F37" i="7" s="1"/>
  <c r="G37" i="7" s="1"/>
  <c r="H37" i="7" s="1"/>
  <c r="I37" i="7" s="1"/>
  <c r="J37" i="7" s="1"/>
  <c r="K37" i="7" s="1"/>
  <c r="L37" i="7" s="1"/>
  <c r="M37" i="7" s="1"/>
  <c r="N37" i="7" s="1"/>
  <c r="O37" i="7" s="1"/>
  <c r="O36" i="7"/>
  <c r="N36" i="7"/>
  <c r="M36" i="7"/>
  <c r="L36" i="7"/>
  <c r="K36" i="7"/>
  <c r="J36" i="7"/>
  <c r="I36" i="7"/>
  <c r="H36" i="7"/>
  <c r="G36" i="7"/>
  <c r="F36" i="7"/>
  <c r="E36" i="7"/>
  <c r="O25" i="7"/>
  <c r="N25" i="7"/>
  <c r="M25" i="7"/>
  <c r="L25" i="7"/>
  <c r="K25" i="7"/>
  <c r="J25" i="7"/>
  <c r="I25" i="7"/>
  <c r="H25" i="7"/>
  <c r="G25" i="7"/>
  <c r="F25" i="7"/>
  <c r="E25" i="7"/>
  <c r="O22" i="7"/>
  <c r="O35" i="7" s="1"/>
  <c r="N22" i="7"/>
  <c r="N23" i="7" s="1"/>
  <c r="M22" i="7"/>
  <c r="L22" i="7"/>
  <c r="L35" i="7" s="1"/>
  <c r="K22" i="7"/>
  <c r="K35" i="7" s="1"/>
  <c r="J22" i="7"/>
  <c r="J35" i="7" s="1"/>
  <c r="I22" i="7"/>
  <c r="H22" i="7"/>
  <c r="H35" i="7" s="1"/>
  <c r="G22" i="7"/>
  <c r="G35" i="7" s="1"/>
  <c r="F22" i="7"/>
  <c r="F35" i="7" s="1"/>
  <c r="E22" i="7"/>
  <c r="L24" i="7" s="1"/>
  <c r="O21" i="7"/>
  <c r="N21" i="7"/>
  <c r="M21" i="7"/>
  <c r="L21" i="7"/>
  <c r="K21" i="7"/>
  <c r="J21" i="7"/>
  <c r="I21" i="7"/>
  <c r="H21" i="7"/>
  <c r="G21" i="7"/>
  <c r="F21" i="7"/>
  <c r="E19" i="7"/>
  <c r="E38" i="7" l="1"/>
  <c r="F38" i="7" s="1"/>
  <c r="G38" i="7" s="1"/>
  <c r="H38" i="7" s="1"/>
  <c r="I38" i="7" s="1"/>
  <c r="J38" i="7" s="1"/>
  <c r="K38" i="7" s="1"/>
  <c r="L38" i="7" s="1"/>
  <c r="M38" i="7" s="1"/>
  <c r="N38" i="7" s="1"/>
  <c r="O38" i="7" s="1"/>
  <c r="F55" i="7"/>
  <c r="F56" i="7" s="1"/>
  <c r="J41" i="7"/>
  <c r="J42" i="7" s="1"/>
  <c r="E115" i="7" s="1"/>
  <c r="N55" i="7"/>
  <c r="G55" i="7"/>
  <c r="G62" i="7" s="1"/>
  <c r="K55" i="7"/>
  <c r="K62" i="7" s="1"/>
  <c r="O55" i="7"/>
  <c r="O62" i="7" s="1"/>
  <c r="H23" i="7"/>
  <c r="G24" i="7"/>
  <c r="G30" i="7" s="1"/>
  <c r="G31" i="7" s="1"/>
  <c r="G23" i="7"/>
  <c r="J55" i="7"/>
  <c r="J56" i="7" s="1"/>
  <c r="L23" i="7"/>
  <c r="K41" i="7"/>
  <c r="K48" i="7" s="1"/>
  <c r="L30" i="7"/>
  <c r="L31" i="7" s="1"/>
  <c r="L26" i="7"/>
  <c r="L27" i="7" s="1"/>
  <c r="H55" i="7"/>
  <c r="H62" i="7" s="1"/>
  <c r="H41" i="7"/>
  <c r="L55" i="7"/>
  <c r="L62" i="7" s="1"/>
  <c r="L41" i="7"/>
  <c r="E114" i="7"/>
  <c r="N24" i="7"/>
  <c r="J24" i="7"/>
  <c r="F24" i="7"/>
  <c r="E23" i="7"/>
  <c r="K24" i="7"/>
  <c r="E24" i="7"/>
  <c r="E118" i="7"/>
  <c r="O24" i="7"/>
  <c r="I24" i="7"/>
  <c r="E35" i="7"/>
  <c r="M24" i="7"/>
  <c r="H24" i="7"/>
  <c r="I23" i="7"/>
  <c r="I35" i="7"/>
  <c r="M23" i="7"/>
  <c r="M35" i="7"/>
  <c r="F41" i="7"/>
  <c r="F48" i="7" s="1"/>
  <c r="N41" i="7"/>
  <c r="E55" i="7"/>
  <c r="E41" i="7"/>
  <c r="I55" i="7"/>
  <c r="I41" i="7"/>
  <c r="M55" i="7"/>
  <c r="M41" i="7"/>
  <c r="J23" i="7"/>
  <c r="O23" i="7"/>
  <c r="G41" i="7"/>
  <c r="G48" i="7" s="1"/>
  <c r="O41" i="7"/>
  <c r="O48" i="7" s="1"/>
  <c r="F23" i="7"/>
  <c r="K23" i="7"/>
  <c r="E70" i="7"/>
  <c r="E71" i="7" s="1"/>
  <c r="E52" i="7"/>
  <c r="N35" i="7"/>
  <c r="E79" i="7"/>
  <c r="J48" i="7" l="1"/>
  <c r="F62" i="7"/>
  <c r="K56" i="7"/>
  <c r="G26" i="7"/>
  <c r="G27" i="7" s="1"/>
  <c r="G29" i="7" s="1"/>
  <c r="G32" i="7" s="1"/>
  <c r="E72" i="7"/>
  <c r="E74" i="7" s="1"/>
  <c r="I62" i="7"/>
  <c r="O56" i="7"/>
  <c r="H56" i="7"/>
  <c r="G56" i="7"/>
  <c r="J62" i="7"/>
  <c r="M48" i="7"/>
  <c r="K42" i="7"/>
  <c r="N56" i="7"/>
  <c r="N42" i="7"/>
  <c r="N48" i="7"/>
  <c r="M56" i="7"/>
  <c r="M42" i="7"/>
  <c r="I30" i="7"/>
  <c r="I31" i="7" s="1"/>
  <c r="I26" i="7"/>
  <c r="I27" i="7" s="1"/>
  <c r="K26" i="7"/>
  <c r="K27" i="7" s="1"/>
  <c r="K30" i="7"/>
  <c r="K31" i="7" s="1"/>
  <c r="J30" i="7"/>
  <c r="J31" i="7" s="1"/>
  <c r="J26" i="7"/>
  <c r="J27" i="7" s="1"/>
  <c r="L29" i="7"/>
  <c r="L32" i="7" s="1"/>
  <c r="L28" i="7"/>
  <c r="L89" i="7" s="1"/>
  <c r="N62" i="7"/>
  <c r="M62" i="7"/>
  <c r="E48" i="7"/>
  <c r="H30" i="7"/>
  <c r="H31" i="7" s="1"/>
  <c r="H26" i="7"/>
  <c r="H27" i="7" s="1"/>
  <c r="O30" i="7"/>
  <c r="O31" i="7" s="1"/>
  <c r="O26" i="7"/>
  <c r="O27" i="7" s="1"/>
  <c r="N30" i="7"/>
  <c r="N31" i="7" s="1"/>
  <c r="N26" i="7"/>
  <c r="N27" i="7" s="1"/>
  <c r="H48" i="7"/>
  <c r="H42" i="7"/>
  <c r="F52" i="7"/>
  <c r="G52" i="7" s="1"/>
  <c r="H52" i="7" s="1"/>
  <c r="I52" i="7" s="1"/>
  <c r="J52" i="7" s="1"/>
  <c r="K52" i="7" s="1"/>
  <c r="L52" i="7" s="1"/>
  <c r="M52" i="7" s="1"/>
  <c r="N52" i="7" s="1"/>
  <c r="O52" i="7" s="1"/>
  <c r="E73" i="7"/>
  <c r="E75" i="7" s="1"/>
  <c r="I48" i="7"/>
  <c r="E62" i="7"/>
  <c r="L56" i="7"/>
  <c r="M30" i="7"/>
  <c r="M31" i="7" s="1"/>
  <c r="M26" i="7"/>
  <c r="M27" i="7" s="1"/>
  <c r="O42" i="7"/>
  <c r="F42" i="7"/>
  <c r="E123" i="7"/>
  <c r="I56" i="7"/>
  <c r="I42" i="7"/>
  <c r="E56" i="7"/>
  <c r="E42" i="7"/>
  <c r="E18" i="7"/>
  <c r="F18" i="7" s="1"/>
  <c r="E119" i="7"/>
  <c r="E53" i="7"/>
  <c r="E107" i="7"/>
  <c r="E39" i="7"/>
  <c r="E30" i="7"/>
  <c r="E31" i="7" s="1"/>
  <c r="E26" i="7"/>
  <c r="E27" i="7" s="1"/>
  <c r="F26" i="7"/>
  <c r="F27" i="7" s="1"/>
  <c r="F30" i="7"/>
  <c r="F31" i="7" s="1"/>
  <c r="L48" i="7"/>
  <c r="L42" i="7"/>
  <c r="G28" i="7"/>
  <c r="G89" i="7" s="1"/>
  <c r="G42" i="7"/>
  <c r="E122" i="7" l="1"/>
  <c r="E124" i="7" s="1"/>
  <c r="E127" i="7" s="1"/>
  <c r="E109" i="7"/>
  <c r="E40" i="7"/>
  <c r="E43" i="7" s="1"/>
  <c r="F39" i="7"/>
  <c r="E46" i="7"/>
  <c r="E47" i="7" s="1"/>
  <c r="O29" i="7"/>
  <c r="O32" i="7" s="1"/>
  <c r="O28" i="7"/>
  <c r="O89" i="7" s="1"/>
  <c r="F29" i="7"/>
  <c r="F32" i="7" s="1"/>
  <c r="F28" i="7"/>
  <c r="F89" i="7" s="1"/>
  <c r="E108" i="7"/>
  <c r="M29" i="7"/>
  <c r="M32" i="7" s="1"/>
  <c r="M28" i="7"/>
  <c r="M89" i="7" s="1"/>
  <c r="J29" i="7"/>
  <c r="J32" i="7" s="1"/>
  <c r="J28" i="7"/>
  <c r="J89" i="7" s="1"/>
  <c r="I29" i="7"/>
  <c r="I32" i="7" s="1"/>
  <c r="I28" i="7"/>
  <c r="I89" i="7" s="1"/>
  <c r="E29" i="7"/>
  <c r="E32" i="7" s="1"/>
  <c r="E28" i="7"/>
  <c r="E89" i="7" s="1"/>
  <c r="E54" i="7"/>
  <c r="E57" i="7" s="1"/>
  <c r="F53" i="7"/>
  <c r="E110" i="7"/>
  <c r="E60" i="7"/>
  <c r="E61" i="7" s="1"/>
  <c r="N29" i="7"/>
  <c r="N32" i="7" s="1"/>
  <c r="N28" i="7"/>
  <c r="N89" i="7" s="1"/>
  <c r="H29" i="7"/>
  <c r="H32" i="7" s="1"/>
  <c r="H28" i="7"/>
  <c r="H89" i="7" s="1"/>
  <c r="K29" i="7"/>
  <c r="K32" i="7" s="1"/>
  <c r="K28" i="7"/>
  <c r="K89" i="7" s="1"/>
  <c r="F60" i="7" l="1"/>
  <c r="F61" i="7" s="1"/>
  <c r="F54" i="7"/>
  <c r="F57" i="7" s="1"/>
  <c r="G53" i="7"/>
  <c r="E59" i="7"/>
  <c r="E63" i="7" s="1"/>
  <c r="E58" i="7"/>
  <c r="E97" i="7"/>
  <c r="E80" i="7" s="1"/>
  <c r="E111" i="7"/>
  <c r="F40" i="7"/>
  <c r="F43" i="7" s="1"/>
  <c r="F46" i="7"/>
  <c r="F47" i="7" s="1"/>
  <c r="G39" i="7"/>
  <c r="E45" i="7"/>
  <c r="E49" i="7" s="1"/>
  <c r="E44" i="7"/>
  <c r="E93" i="7" l="1"/>
  <c r="E91" i="7"/>
  <c r="E90" i="7"/>
  <c r="E92" i="7"/>
  <c r="F45" i="7"/>
  <c r="F49" i="7" s="1"/>
  <c r="F44" i="7"/>
  <c r="G60" i="7"/>
  <c r="G61" i="7" s="1"/>
  <c r="G54" i="7"/>
  <c r="G57" i="7" s="1"/>
  <c r="H53" i="7"/>
  <c r="G46" i="7"/>
  <c r="G47" i="7" s="1"/>
  <c r="H39" i="7"/>
  <c r="G40" i="7"/>
  <c r="G43" i="7" s="1"/>
  <c r="E131" i="7"/>
  <c r="E98" i="7"/>
  <c r="E132" i="7"/>
  <c r="F59" i="7"/>
  <c r="F63" i="7" s="1"/>
  <c r="F58" i="7"/>
  <c r="G58" i="7" l="1"/>
  <c r="G59" i="7"/>
  <c r="G63" i="7" s="1"/>
  <c r="H46" i="7"/>
  <c r="H47" i="7" s="1"/>
  <c r="I39" i="7"/>
  <c r="H40" i="7"/>
  <c r="H43" i="7" s="1"/>
  <c r="F92" i="7"/>
  <c r="F90" i="7"/>
  <c r="G44" i="7"/>
  <c r="G45" i="7"/>
  <c r="G49" i="7" s="1"/>
  <c r="F91" i="7"/>
  <c r="F93" i="7"/>
  <c r="H60" i="7"/>
  <c r="H61" i="7" s="1"/>
  <c r="I53" i="7"/>
  <c r="H54" i="7"/>
  <c r="H57" i="7" s="1"/>
  <c r="H59" i="7" l="1"/>
  <c r="H63" i="7" s="1"/>
  <c r="H58" i="7"/>
  <c r="I54" i="7"/>
  <c r="I57" i="7" s="1"/>
  <c r="I60" i="7"/>
  <c r="I61" i="7" s="1"/>
  <c r="J53" i="7"/>
  <c r="H45" i="7"/>
  <c r="H49" i="7" s="1"/>
  <c r="H44" i="7"/>
  <c r="G93" i="7"/>
  <c r="G91" i="7"/>
  <c r="G90" i="7"/>
  <c r="G92" i="7"/>
  <c r="J39" i="7"/>
  <c r="I40" i="7"/>
  <c r="I43" i="7" s="1"/>
  <c r="I46" i="7"/>
  <c r="I47" i="7" s="1"/>
  <c r="H91" i="7" l="1"/>
  <c r="H93" i="7"/>
  <c r="I45" i="7"/>
  <c r="I49" i="7" s="1"/>
  <c r="I44" i="7"/>
  <c r="J60" i="7"/>
  <c r="J61" i="7" s="1"/>
  <c r="J54" i="7"/>
  <c r="J57" i="7" s="1"/>
  <c r="K53" i="7"/>
  <c r="J46" i="7"/>
  <c r="J47" i="7" s="1"/>
  <c r="K39" i="7"/>
  <c r="J40" i="7"/>
  <c r="J43" i="7" s="1"/>
  <c r="H92" i="7"/>
  <c r="H90" i="7"/>
  <c r="I59" i="7"/>
  <c r="I63" i="7" s="1"/>
  <c r="I58" i="7"/>
  <c r="J45" i="7" l="1"/>
  <c r="J49" i="7" s="1"/>
  <c r="J50" i="7" s="1"/>
  <c r="J44" i="7"/>
  <c r="I92" i="7"/>
  <c r="I90" i="7"/>
  <c r="K60" i="7"/>
  <c r="K61" i="7" s="1"/>
  <c r="L53" i="7"/>
  <c r="K54" i="7"/>
  <c r="K57" i="7" s="1"/>
  <c r="I91" i="7"/>
  <c r="I93" i="7"/>
  <c r="J59" i="7"/>
  <c r="J63" i="7" s="1"/>
  <c r="J64" i="7" s="1"/>
  <c r="J58" i="7"/>
  <c r="K40" i="7"/>
  <c r="K43" i="7" s="1"/>
  <c r="K46" i="7"/>
  <c r="K47" i="7" s="1"/>
  <c r="L39" i="7"/>
  <c r="J65" i="7" l="1"/>
  <c r="K45" i="7"/>
  <c r="K49" i="7" s="1"/>
  <c r="K44" i="7"/>
  <c r="J93" i="7"/>
  <c r="J91" i="7"/>
  <c r="K58" i="7"/>
  <c r="K59" i="7"/>
  <c r="K63" i="7" s="1"/>
  <c r="M39" i="7"/>
  <c r="L40" i="7"/>
  <c r="L43" i="7" s="1"/>
  <c r="L46" i="7"/>
  <c r="L47" i="7" s="1"/>
  <c r="L54" i="7"/>
  <c r="L57" i="7" s="1"/>
  <c r="L60" i="7"/>
  <c r="L61" i="7" s="1"/>
  <c r="M53" i="7"/>
  <c r="J92" i="7"/>
  <c r="J90" i="7"/>
  <c r="L59" i="7" l="1"/>
  <c r="L63" i="7" s="1"/>
  <c r="L58" i="7"/>
  <c r="K90" i="7"/>
  <c r="K92" i="7"/>
  <c r="K93" i="7"/>
  <c r="K91" i="7"/>
  <c r="N53" i="7"/>
  <c r="M54" i="7"/>
  <c r="M57" i="7" s="1"/>
  <c r="M60" i="7"/>
  <c r="M61" i="7" s="1"/>
  <c r="L44" i="7"/>
  <c r="L45" i="7"/>
  <c r="L49" i="7" s="1"/>
  <c r="M40" i="7"/>
  <c r="M43" i="7" s="1"/>
  <c r="M46" i="7"/>
  <c r="M47" i="7" s="1"/>
  <c r="N39" i="7"/>
  <c r="M44" i="7" l="1"/>
  <c r="M45" i="7"/>
  <c r="M49" i="7" s="1"/>
  <c r="M58" i="7"/>
  <c r="M59" i="7"/>
  <c r="M63" i="7" s="1"/>
  <c r="O53" i="7"/>
  <c r="N54" i="7"/>
  <c r="N57" i="7" s="1"/>
  <c r="N60" i="7"/>
  <c r="N61" i="7" s="1"/>
  <c r="N40" i="7"/>
  <c r="N43" i="7" s="1"/>
  <c r="N46" i="7"/>
  <c r="N47" i="7" s="1"/>
  <c r="O39" i="7"/>
  <c r="L92" i="7"/>
  <c r="L90" i="7"/>
  <c r="L91" i="7"/>
  <c r="L93" i="7"/>
  <c r="O40" i="7" l="1"/>
  <c r="O43" i="7" s="1"/>
  <c r="O46" i="7"/>
  <c r="O47" i="7" s="1"/>
  <c r="N59" i="7"/>
  <c r="N63" i="7" s="1"/>
  <c r="N58" i="7"/>
  <c r="O60" i="7"/>
  <c r="O61" i="7" s="1"/>
  <c r="O54" i="7"/>
  <c r="O57" i="7" s="1"/>
  <c r="M92" i="7"/>
  <c r="M90" i="7"/>
  <c r="N45" i="7"/>
  <c r="N49" i="7" s="1"/>
  <c r="N44" i="7"/>
  <c r="M91" i="7"/>
  <c r="M93" i="7"/>
  <c r="N92" i="7" l="1"/>
  <c r="N90" i="7"/>
  <c r="N93" i="7"/>
  <c r="N91" i="7"/>
  <c r="O58" i="7"/>
  <c r="O59" i="7"/>
  <c r="O63" i="7" s="1"/>
  <c r="O44" i="7"/>
  <c r="O45" i="7"/>
  <c r="O49" i="7" s="1"/>
  <c r="O93" i="7" l="1"/>
  <c r="E104" i="7" s="1"/>
  <c r="O91" i="7"/>
  <c r="E100" i="7" s="1"/>
  <c r="O90" i="7"/>
  <c r="E99" i="7" s="1"/>
  <c r="O92" i="7"/>
  <c r="E103" i="7" s="1"/>
  <c r="E105" i="7" l="1"/>
  <c r="E120" i="7" s="1"/>
  <c r="E101" i="7"/>
  <c r="E102" i="7" s="1"/>
  <c r="G133" i="7" l="1"/>
  <c r="F134" i="7"/>
  <c r="E133" i="7"/>
</calcChain>
</file>

<file path=xl/sharedStrings.xml><?xml version="1.0" encoding="utf-8"?>
<sst xmlns="http://schemas.openxmlformats.org/spreadsheetml/2006/main" count="445" uniqueCount="290">
  <si>
    <t>m_M</t>
  </si>
  <si>
    <t>kg</t>
  </si>
  <si>
    <t>b</t>
  </si>
  <si>
    <t>m</t>
  </si>
  <si>
    <t>l</t>
  </si>
  <si>
    <t>v_G</t>
  </si>
  <si>
    <t>m/s</t>
  </si>
  <si>
    <t>c_amG</t>
  </si>
  <si>
    <t>Symbol</t>
  </si>
  <si>
    <t>g</t>
  </si>
  <si>
    <t>k_v</t>
  </si>
  <si>
    <t>s</t>
  </si>
  <si>
    <t>v_K</t>
  </si>
  <si>
    <t>c_aG(y)</t>
  </si>
  <si>
    <t>v_iG(y)</t>
  </si>
  <si>
    <t>v_e1(y)</t>
  </si>
  <si>
    <t>c_a1(y)</t>
  </si>
  <si>
    <t>v_i1(y)</t>
  </si>
  <si>
    <t>v_e2(y)</t>
  </si>
  <si>
    <t>c_a2(y)</t>
  </si>
  <si>
    <t>v_i2(y)</t>
  </si>
  <si>
    <t>n</t>
  </si>
  <si>
    <t>j</t>
  </si>
  <si>
    <t>Re_G</t>
  </si>
  <si>
    <t>v_u1(y)</t>
  </si>
  <si>
    <t>v_u2(y)</t>
  </si>
  <si>
    <t>rad/s</t>
  </si>
  <si>
    <t>t_p</t>
  </si>
  <si>
    <t>Parameter</t>
  </si>
  <si>
    <t>Nm</t>
  </si>
  <si>
    <t>M_SG</t>
  </si>
  <si>
    <t>m_F</t>
  </si>
  <si>
    <t>F_QG[y]</t>
  </si>
  <si>
    <t>N</t>
  </si>
  <si>
    <t>F_Q1[y]</t>
  </si>
  <si>
    <t>F_Q2[y]</t>
  </si>
  <si>
    <t>F_AG</t>
  </si>
  <si>
    <t>F_V2</t>
  </si>
  <si>
    <t>F_V1</t>
  </si>
  <si>
    <t>F_AF1</t>
  </si>
  <si>
    <t>F_AF2</t>
  </si>
  <si>
    <t>Mode</t>
  </si>
  <si>
    <t>Measure</t>
  </si>
  <si>
    <t>Value</t>
  </si>
  <si>
    <t>acceleration of gravitiy</t>
  </si>
  <si>
    <t>physics</t>
  </si>
  <si>
    <t>air density</t>
  </si>
  <si>
    <t>gliding</t>
  </si>
  <si>
    <t>mass of model</t>
  </si>
  <si>
    <t>span</t>
  </si>
  <si>
    <t>chord (rectangular planform)</t>
  </si>
  <si>
    <t>airfoil</t>
  </si>
  <si>
    <t xml:space="preserve">type CLARK Y (11,7) </t>
  </si>
  <si>
    <t>angle of attack for zero lift</t>
  </si>
  <si>
    <t>angle to tangent of lower surface</t>
  </si>
  <si>
    <t>power flight</t>
  </si>
  <si>
    <t>flapping period length (sinusoidal)</t>
  </si>
  <si>
    <t>arithmetic</t>
  </si>
  <si>
    <t>general</t>
  </si>
  <si>
    <t>Reynolds number (Re=v_G×l×70.000)</t>
  </si>
  <si>
    <t>average circulation</t>
  </si>
  <si>
    <t>circulation</t>
  </si>
  <si>
    <t>lift coefficient</t>
  </si>
  <si>
    <t>transverse force</t>
  </si>
  <si>
    <t>angle of incidence</t>
  </si>
  <si>
    <t>induced down wind</t>
  </si>
  <si>
    <t>induced down wind angle</t>
  </si>
  <si>
    <t xml:space="preserve">flight speed </t>
  </si>
  <si>
    <t>maximum of angular velocity</t>
  </si>
  <si>
    <t>circulation factor</t>
  </si>
  <si>
    <t>vertical speed</t>
  </si>
  <si>
    <t>freestream velocity (effective velocity)</t>
  </si>
  <si>
    <t>angle of attack</t>
  </si>
  <si>
    <t>feathered angle</t>
  </si>
  <si>
    <t>bending moment while gliding</t>
  </si>
  <si>
    <t>bending moment in the middle of upstroke</t>
  </si>
  <si>
    <t>bending moment in the middle of downstroke</t>
  </si>
  <si>
    <t>upstroke</t>
  </si>
  <si>
    <t>downstroke</t>
  </si>
  <si>
    <t>lift</t>
  </si>
  <si>
    <t>Integration parameters</t>
  </si>
  <si>
    <t>Wing staion values</t>
  </si>
  <si>
    <t>number of wing stations along halfspan</t>
  </si>
  <si>
    <t>number of wing stations total</t>
  </si>
  <si>
    <t>on stations</t>
  </si>
  <si>
    <t>relative distance from wing root</t>
  </si>
  <si>
    <t>1/deg</t>
  </si>
  <si>
    <t>deg</t>
  </si>
  <si>
    <t>deg/m</t>
  </si>
  <si>
    <t>F_Wi1</t>
  </si>
  <si>
    <t>F_Wi2</t>
  </si>
  <si>
    <t>F_WiG</t>
  </si>
  <si>
    <t>k_A</t>
  </si>
  <si>
    <t>F_SK</t>
  </si>
  <si>
    <t>average airfoil lift coefficient</t>
  </si>
  <si>
    <t>flapping angle (± middle of stroke)</t>
  </si>
  <si>
    <t>flight speed factor (ratio power to glide)</t>
  </si>
  <si>
    <t>wing twisting characteristic</t>
  </si>
  <si>
    <t>wing twisting characteristic total</t>
  </si>
  <si>
    <t xml:space="preserve">upstroke </t>
  </si>
  <si>
    <t>F_AK</t>
  </si>
  <si>
    <t>F_VK</t>
  </si>
  <si>
    <t>F_WiK</t>
  </si>
  <si>
    <t>propulsion</t>
  </si>
  <si>
    <t>Dynamik of the flapping wing</t>
  </si>
  <si>
    <t>c_Wr</t>
  </si>
  <si>
    <t>c_Wp</t>
  </si>
  <si>
    <t>Short instruction</t>
  </si>
  <si>
    <t xml:space="preserve">Application area </t>
  </si>
  <si>
    <t>Data input</t>
  </si>
  <si>
    <t>Analysis</t>
  </si>
  <si>
    <t xml:space="preserve">For advanced requirements nothing gets in the way of an own program improvement and enlargement. </t>
  </si>
  <si>
    <t>F_WrG</t>
  </si>
  <si>
    <t>F_WrK</t>
  </si>
  <si>
    <t>F_WpG</t>
  </si>
  <si>
    <t>F_WpK</t>
  </si>
  <si>
    <t>Rough average values of flight</t>
  </si>
  <si>
    <t>glide ratio</t>
  </si>
  <si>
    <t>glide angle</t>
  </si>
  <si>
    <t>powered flight</t>
  </si>
  <si>
    <t>powered flight *)</t>
  </si>
  <si>
    <t>gliding flight</t>
  </si>
  <si>
    <r>
      <t xml:space="preserve">upstroke </t>
    </r>
    <r>
      <rPr>
        <sz val="10"/>
        <rFont val="Arial"/>
        <family val="2"/>
      </rPr>
      <t>●</t>
    </r>
  </si>
  <si>
    <r>
      <t xml:space="preserve">downstroke </t>
    </r>
    <r>
      <rPr>
        <sz val="10"/>
        <rFont val="Arial"/>
        <family val="2"/>
      </rPr>
      <t>●</t>
    </r>
  </si>
  <si>
    <t>*)  Without consideration of changed vector pitching along the wing span</t>
  </si>
  <si>
    <t>Numerically integration along the halfspan</t>
  </si>
  <si>
    <r>
      <t xml:space="preserve">upstroke </t>
    </r>
    <r>
      <rPr>
        <sz val="10"/>
        <rFont val="Arial"/>
        <family val="2"/>
      </rPr>
      <t>● *)</t>
    </r>
  </si>
  <si>
    <r>
      <t xml:space="preserve">downstroke </t>
    </r>
    <r>
      <rPr>
        <sz val="10"/>
        <rFont val="Arial"/>
        <family val="2"/>
      </rPr>
      <t>● *)</t>
    </r>
  </si>
  <si>
    <r>
      <t xml:space="preserve">●   force of both wing halves </t>
    </r>
    <r>
      <rPr>
        <sz val="10"/>
        <rFont val="Arial"/>
        <family val="2"/>
      </rPr>
      <t>in the middle of the stroke</t>
    </r>
  </si>
  <si>
    <t>F_Wi according to handbook, equation 3.1</t>
  </si>
  <si>
    <t>Wing station values</t>
  </si>
  <si>
    <t>flight speed</t>
  </si>
  <si>
    <t>for the calculation tool „Orni 1“ for flapping wings</t>
  </si>
  <si>
    <t>W</t>
  </si>
  <si>
    <t>P_A1</t>
  </si>
  <si>
    <t>P_A2</t>
  </si>
  <si>
    <t>(total of both wing halves)</t>
  </si>
  <si>
    <t>input</t>
  </si>
  <si>
    <t>total</t>
  </si>
  <si>
    <t>P_Sa1</t>
  </si>
  <si>
    <t>P_Sa2</t>
  </si>
  <si>
    <t>P_SaK</t>
  </si>
  <si>
    <t>h</t>
  </si>
  <si>
    <t>%</t>
  </si>
  <si>
    <t>P_Mot</t>
  </si>
  <si>
    <t>total degree of efficiency</t>
  </si>
  <si>
    <t>required input power</t>
  </si>
  <si>
    <t>input power of motor</t>
  </si>
  <si>
    <t>aerodynamic stroke power in the middle of the downtroke (by supply of energy)</t>
  </si>
  <si>
    <t>y/s bzw. j/n</t>
  </si>
  <si>
    <r>
      <t>α</t>
    </r>
    <r>
      <rPr>
        <sz val="10"/>
        <rFont val="Arial"/>
        <family val="2"/>
      </rPr>
      <t>_1(y)</t>
    </r>
  </si>
  <si>
    <r>
      <t>α</t>
    </r>
    <r>
      <rPr>
        <sz val="10"/>
        <rFont val="Arial"/>
        <family val="2"/>
      </rPr>
      <t>_i1(y)</t>
    </r>
  </si>
  <si>
    <r>
      <t>δ</t>
    </r>
    <r>
      <rPr>
        <sz val="10"/>
        <rFont val="Arial"/>
        <family val="2"/>
      </rPr>
      <t>_1(y)</t>
    </r>
  </si>
  <si>
    <r>
      <t>α</t>
    </r>
    <r>
      <rPr>
        <sz val="10"/>
        <rFont val="Arial"/>
        <family val="2"/>
      </rPr>
      <t>_E1(y)</t>
    </r>
  </si>
  <si>
    <r>
      <t>Γ</t>
    </r>
    <r>
      <rPr>
        <sz val="10"/>
        <rFont val="Arial"/>
        <family val="2"/>
      </rPr>
      <t>_m1</t>
    </r>
  </si>
  <si>
    <t>Γ_1(y)</t>
  </si>
  <si>
    <t>c_Γ1</t>
  </si>
  <si>
    <t>c_ΓG</t>
  </si>
  <si>
    <t>c_Γ2</t>
  </si>
  <si>
    <t>Γ_mG</t>
  </si>
  <si>
    <t>y_ΓG</t>
  </si>
  <si>
    <t>Γ_G(y)</t>
  </si>
  <si>
    <t>Γ_m2</t>
  </si>
  <si>
    <t>Γ_2(y)</t>
  </si>
  <si>
    <t>α_0</t>
  </si>
  <si>
    <t>α_G(y)</t>
  </si>
  <si>
    <t>α_iG(y)</t>
  </si>
  <si>
    <t>α_EG(y)</t>
  </si>
  <si>
    <t>α_2(y)</t>
  </si>
  <si>
    <t>α_i2(y)</t>
  </si>
  <si>
    <t>α_E2(y)</t>
  </si>
  <si>
    <t>σ</t>
  </si>
  <si>
    <r>
      <t>Φ</t>
    </r>
    <r>
      <rPr>
        <sz val="10"/>
        <rFont val="Arial"/>
        <family val="2"/>
      </rPr>
      <t>_E</t>
    </r>
  </si>
  <si>
    <r>
      <t>ω</t>
    </r>
    <r>
      <rPr>
        <sz val="10"/>
        <rFont val="Arial"/>
        <family val="2"/>
      </rPr>
      <t>_max</t>
    </r>
  </si>
  <si>
    <r>
      <t>δ</t>
    </r>
    <r>
      <rPr>
        <sz val="10"/>
        <rFont val="Arial"/>
        <family val="2"/>
      </rPr>
      <t>_2(y)</t>
    </r>
  </si>
  <si>
    <t>V_ΔαK</t>
  </si>
  <si>
    <t>ρ</t>
  </si>
  <si>
    <t>k_Г2</t>
  </si>
  <si>
    <r>
      <t>y_</t>
    </r>
    <r>
      <rPr>
        <sz val="10"/>
        <rFont val="Arial"/>
        <family val="2"/>
      </rPr>
      <t>Γ1</t>
    </r>
  </si>
  <si>
    <r>
      <t>k_</t>
    </r>
    <r>
      <rPr>
        <sz val="10"/>
        <rFont val="Arial"/>
        <family val="2"/>
      </rPr>
      <t>Γ</t>
    </r>
    <r>
      <rPr>
        <sz val="10"/>
        <rFont val="Arial"/>
        <family val="2"/>
      </rPr>
      <t>1</t>
    </r>
  </si>
  <si>
    <r>
      <t>V_</t>
    </r>
    <r>
      <rPr>
        <sz val="10"/>
        <rFont val="Arial"/>
        <family val="2"/>
      </rPr>
      <t>Δ</t>
    </r>
    <r>
      <rPr>
        <sz val="10"/>
        <rFont val="Arial"/>
        <family val="2"/>
      </rPr>
      <t>α</t>
    </r>
    <r>
      <rPr>
        <sz val="10"/>
        <rFont val="Arial"/>
        <family val="2"/>
      </rPr>
      <t>1</t>
    </r>
  </si>
  <si>
    <r>
      <t>y_</t>
    </r>
    <r>
      <rPr>
        <sz val="10"/>
        <rFont val="Arial"/>
        <family val="2"/>
      </rPr>
      <t>Γ</t>
    </r>
    <r>
      <rPr>
        <sz val="10"/>
        <rFont val="Arial"/>
        <family val="2"/>
      </rPr>
      <t>2</t>
    </r>
  </si>
  <si>
    <r>
      <t>V_</t>
    </r>
    <r>
      <rPr>
        <sz val="10"/>
        <rFont val="Arial"/>
        <family val="2"/>
      </rPr>
      <t>Δ</t>
    </r>
    <r>
      <rPr>
        <sz val="10"/>
        <rFont val="Arial"/>
        <family val="2"/>
      </rPr>
      <t>α2</t>
    </r>
  </si>
  <si>
    <r>
      <t>c_</t>
    </r>
    <r>
      <rPr>
        <sz val="10"/>
        <rFont val="Arial"/>
        <family val="2"/>
      </rPr>
      <t>α</t>
    </r>
  </si>
  <si>
    <t>induzed drag</t>
  </si>
  <si>
    <t>coefficient</t>
  </si>
  <si>
    <t xml:space="preserve">profile drag   </t>
  </si>
  <si>
    <t>model parasite drag</t>
  </si>
  <si>
    <t>power</t>
  </si>
  <si>
    <t>glide</t>
  </si>
  <si>
    <t>Flight details</t>
  </si>
  <si>
    <t>γ_G</t>
  </si>
  <si>
    <t>γ_K</t>
  </si>
  <si>
    <r>
      <t xml:space="preserve">propulsion </t>
    </r>
    <r>
      <rPr>
        <sz val="10"/>
        <rFont val="Arial"/>
        <family val="2"/>
      </rPr>
      <t xml:space="preserve"> upstroke </t>
    </r>
    <r>
      <rPr>
        <sz val="10"/>
        <rFont val="Arial"/>
        <family val="2"/>
      </rPr>
      <t>●</t>
    </r>
  </si>
  <si>
    <r>
      <t>lift</t>
    </r>
    <r>
      <rPr>
        <sz val="10"/>
        <rFont val="Arial"/>
        <family val="2"/>
      </rPr>
      <t xml:space="preserve">              gliding flight</t>
    </r>
  </si>
  <si>
    <t>lift ratio:                      powered flight / glide</t>
  </si>
  <si>
    <r>
      <t>thrust</t>
    </r>
    <r>
      <rPr>
        <sz val="10"/>
        <rFont val="Arial"/>
        <family val="2"/>
      </rPr>
      <t xml:space="preserve">         powered flight</t>
    </r>
  </si>
  <si>
    <t>reduced frequency (must value &lt; 0.2)</t>
  </si>
  <si>
    <t>k_A =</t>
  </si>
  <si>
    <t>blue =</t>
  </si>
  <si>
    <t>values like handbook, addendum B                if at example k_v=1,00 (row 15)</t>
  </si>
  <si>
    <t>M_S1</t>
  </si>
  <si>
    <t>M_S2</t>
  </si>
  <si>
    <t>M_SE</t>
  </si>
  <si>
    <t>F_WiE</t>
  </si>
  <si>
    <t>F_AE</t>
  </si>
  <si>
    <t>The slope angle is only valid, if observe</t>
  </si>
  <si>
    <t xml:space="preserve">the must value k_A=1.00 ± 0.01 (row 99). </t>
  </si>
  <si>
    <r>
      <t xml:space="preserve">Must value for balance of lift at powered flight is 1.00 </t>
    </r>
    <r>
      <rPr>
        <sz val="10"/>
        <rFont val="Arial"/>
        <family val="2"/>
      </rPr>
      <t>±</t>
    </r>
    <r>
      <rPr>
        <sz val="10"/>
        <rFont val="Arial"/>
        <family val="2"/>
      </rPr>
      <t xml:space="preserve"> 0.01</t>
    </r>
  </si>
  <si>
    <t>in final stroke positions</t>
  </si>
  <si>
    <t>stroke power of the wing                        by aerodynamic forces</t>
  </si>
  <si>
    <r>
      <t>m/s</t>
    </r>
    <r>
      <rPr>
        <vertAlign val="superscript"/>
        <sz val="10"/>
        <rFont val="Arial"/>
        <family val="2"/>
      </rPr>
      <t>2</t>
    </r>
  </si>
  <si>
    <r>
      <t>kg/m</t>
    </r>
    <r>
      <rPr>
        <vertAlign val="superscript"/>
        <sz val="10"/>
        <rFont val="Arial"/>
        <family val="2"/>
      </rPr>
      <t>3</t>
    </r>
  </si>
  <si>
    <r>
      <t>m</t>
    </r>
    <r>
      <rPr>
        <vertAlign val="superscript"/>
        <sz val="10"/>
        <rFont val="Arial"/>
        <family val="2"/>
      </rPr>
      <t>2</t>
    </r>
    <r>
      <rPr>
        <sz val="10"/>
        <rFont val="Arial"/>
        <family val="2"/>
      </rPr>
      <t>/s</t>
    </r>
  </si>
  <si>
    <r>
      <t>rad/s</t>
    </r>
    <r>
      <rPr>
        <vertAlign val="superscript"/>
        <sz val="10"/>
        <rFont val="Arial"/>
        <family val="2"/>
      </rPr>
      <t>2</t>
    </r>
  </si>
  <si>
    <r>
      <t>kg m</t>
    </r>
    <r>
      <rPr>
        <vertAlign val="superscript"/>
        <sz val="10"/>
        <rFont val="Arial"/>
        <family val="2"/>
      </rPr>
      <t>2</t>
    </r>
  </si>
  <si>
    <t>F_AG roughly corresponds to F_AE</t>
  </si>
  <si>
    <t>powered flight **)</t>
  </si>
  <si>
    <t>**) The power of both strokes operates only on half time of the flapping period</t>
  </si>
  <si>
    <t xml:space="preserve">  Only valid, if with a spring happened the recirculation of the upstroke energy</t>
  </si>
  <si>
    <t>These are only approximations of the bending moments, 
please look at the handbook, addendum B, page 137-138</t>
  </si>
  <si>
    <t>For calculation please take a look to this scheme    --&gt; 
but more accurate with F_AE instead of F_AG</t>
  </si>
  <si>
    <t xml:space="preserve">faktor for trapezoidal rule </t>
  </si>
  <si>
    <t>upstroke circulation characteristic number</t>
  </si>
  <si>
    <t>downstroke circulation characteristic number</t>
  </si>
  <si>
    <t>gliding circulation characteristic number</t>
  </si>
  <si>
    <t xml:space="preserve">To calculate the forces of flapping wings is used here the quasi-steady numeric wing stripes method. It works well in cases of fast forward flight with relatively low flapping frequency (like large birds in cruise flight). </t>
  </si>
  <si>
    <t xml:space="preserve">After a data input first is to examine compliance of quasi-stationary conditions. As E. v. Holst it is true if the reduced frequency is smaller than 0.2 (row 18). </t>
  </si>
  <si>
    <t>inclination angle at powered flight [±]</t>
  </si>
  <si>
    <t xml:space="preserve">Than is to be verified the diagram „lift coefficient“. All distributions along the halfspan must be within the permitted lift coefficient of the used airfoil (with spare). Otherwise, there must be expected with a stall. </t>
  </si>
  <si>
    <t xml:space="preserve">The here designed kind of power flight is equal to those of large birds in cruise flight. Thereby the weight is carried particularly by the lift and not by a strong downward directed slipstream. It’s the method of “flying with lift” and not “flying with thrust”. </t>
  </si>
  <si>
    <t>At the same time, by the program can be determined in rough approximation lift, thrust and power requirement in powered flight. The temporal flapping motion is assumed sinusoidal, with equal periods of upstroke and downstroke. The angle of incidence at the wing root in gliding fligh is also always kept in powered flight.</t>
  </si>
  <si>
    <t>For more exactly results of power flight there should be specified particularly more exactly the temporal course of forces and several drags. But the computer program gives an idea about the force balance and the constraints of flying with lift.</t>
  </si>
  <si>
    <t>To increase thrust, the difference between the two circulation characteristic numbers of upstroke and downstroke must be as large as possible (spreadsheet, row 13 and 14). A large average wing chord “l” (row 6) and a low average airfoil lift coefficient c_amG (row 7) extend the possibilities.</t>
  </si>
  <si>
    <t>With the flight speed factor k_v (row 15) especially can be affected the lift. This factor specifies the speed ratio of power flight to gliding flight. Bigger values lead to a higher power flight speed - if the balance of forces is kept - but in practice also leads to problems when changing between power and gliding flight (bigger than approx. k_v=1.2).</t>
  </si>
  <si>
    <r>
      <t>An important design goal is also to manage with the smallest possible twisting of the wing. This makes the wing design easier. The corresponding twisting characteristics of upstroke, downstroke and power flight V_</t>
    </r>
    <r>
      <rPr>
        <sz val="10"/>
        <rFont val="Arial"/>
        <family val="2"/>
      </rPr>
      <t>Δα</t>
    </r>
    <r>
      <rPr>
        <sz val="10"/>
        <rFont val="Arial"/>
        <family val="2"/>
      </rPr>
      <t xml:space="preserve">1, V_Δα2 and V_ΔαK (row 50, 64 and 65) assists to an initial assessment. The exact twist distribution along the halfspan is shown in the diagram “angle of incidence”. </t>
    </r>
  </si>
  <si>
    <t xml:space="preserve">If one want to keep the size of the lift constant, then a constant value is to enter in the lines with the circulation factor k_G (e. g. k_G = 1.0 in the rows 38 and 52). 
</t>
  </si>
  <si>
    <t>aerodyn. center distance to the wing root in rel. to b/2</t>
  </si>
  <si>
    <t>mass of the whole wing</t>
  </si>
  <si>
    <t xml:space="preserve">radius of gyration </t>
  </si>
  <si>
    <t>R_g</t>
  </si>
  <si>
    <t>rotational mass moment of inertia
for uniform weight distribution of the wing</t>
  </si>
  <si>
    <t>I</t>
  </si>
  <si>
    <t>M_L</t>
  </si>
  <si>
    <t>angular acceleration maximum</t>
  </si>
  <si>
    <t>α_av_Max</t>
  </si>
  <si>
    <t>M_SI</t>
  </si>
  <si>
    <t>bending moment of lift with ell. distribution</t>
  </si>
  <si>
    <t>bending moment because inertia</t>
  </si>
  <si>
    <t>F_I</t>
  </si>
  <si>
    <t>inertial force on the radius of gyration</t>
  </si>
  <si>
    <t>bending moment in the final stroke posit.</t>
  </si>
  <si>
    <t>aerodynamic stroke power in the middle of the ustroke (recirculation of energy)</t>
  </si>
  <si>
    <t>F_I related to lift in gliding F_AG</t>
  </si>
  <si>
    <r>
      <t>The program is widely based on the equations of the handbook “How Ornithopters fly” (only in German) and is particularly suitable to</t>
    </r>
    <r>
      <rPr>
        <b/>
        <sz val="10"/>
        <rFont val="Arial"/>
        <family val="2"/>
      </rPr>
      <t xml:space="preserve"> calculate the twisting</t>
    </r>
    <r>
      <rPr>
        <sz val="10"/>
        <rFont val="Arial"/>
        <family val="2"/>
      </rPr>
      <t xml:space="preserve"> of profiled rectangle flapping wings at a given course of motions. Thereby are calculated the wing values in gliding flight and during upstroke and downstroke in the middle of the stroke.</t>
    </r>
  </si>
  <si>
    <t>The data input normally is only to make in the red framed elements of the spreadsheet. For advanced modifications the protect of the worksheet must be removed (without a password).</t>
  </si>
  <si>
    <r>
      <t xml:space="preserve">Also in </t>
    </r>
    <r>
      <rPr>
        <b/>
        <sz val="10"/>
        <rFont val="Arial"/>
        <family val="2"/>
      </rPr>
      <t>power flight</t>
    </r>
    <r>
      <rPr>
        <sz val="10"/>
        <rFont val="Arial"/>
        <family val="2"/>
      </rPr>
      <t xml:space="preserve"> circulation characteristic number determine size and shape of the lift distribution (handbook equation 2.4).  On upstroke the minimum induced drag is with a circulation characteristic number of c_Γ1=5. On downstroke the circulation characteristic number of c_Γ2=8.5 leads to a favourable ratio of the wing stroke moment to the propulsive force (handbook, picture 4.7). But both numerical values together will lead only to a small propulsive force. However the resulting thrust may be sufficient to achieve a level flight.</t>
    </r>
  </si>
  <si>
    <r>
      <t xml:space="preserve">For </t>
    </r>
    <r>
      <rPr>
        <b/>
        <sz val="10"/>
        <rFont val="Arial"/>
        <family val="2"/>
      </rPr>
      <t>gliding flight</t>
    </r>
    <r>
      <rPr>
        <sz val="10"/>
        <rFont val="Arial"/>
        <family val="2"/>
      </rPr>
      <t>, in addition to the usual model data has to be specified a so-called “circulation-characteristic number” c_</t>
    </r>
    <r>
      <rPr>
        <sz val="10"/>
        <rFont val="Arial"/>
        <family val="2"/>
      </rPr>
      <t xml:space="preserve">ΓG  (spreadsheet row 8). The numerical value 8 leads to the particularly favourable elliptic lift distribution (please look at the diagram “lift coefficient”). But also other numerical values, between 8 and 7 may be advantageous.   </t>
    </r>
  </si>
  <si>
    <r>
      <t xml:space="preserve">Furthermore, the thrust force F_SK (row 119) increased by shortening of the flapping period length t_p (row 16) and also by a larger flapping angle </t>
    </r>
    <r>
      <rPr>
        <sz val="10"/>
        <rFont val="Arial"/>
        <family val="2"/>
      </rPr>
      <t>Φ_E (row 17). But with both modifications increased rigorously the wing acceleration moment M_B (row 79) which is to raise up by the drive unit and to transmit by the wing spar.</t>
    </r>
  </si>
  <si>
    <r>
      <t xml:space="preserve">Many data inputs affected lift </t>
    </r>
    <r>
      <rPr>
        <b/>
        <sz val="10"/>
        <rFont val="Arial"/>
        <family val="2"/>
      </rPr>
      <t>and</t>
    </r>
    <r>
      <rPr>
        <sz val="10"/>
        <rFont val="Arial"/>
        <family val="2"/>
      </rPr>
      <t xml:space="preserve"> thru</t>
    </r>
    <r>
      <rPr>
        <sz val="10"/>
        <rFont val="Arial"/>
        <family val="2"/>
      </rPr>
      <t>st (handbook chapter 9).</t>
    </r>
  </si>
  <si>
    <t>For determination of the total degree of efficiency of the drive (row 125) there must be multiply together the individual degrees of efficiency of speed governor, motor, gear, drive mechanism and the mechanism of wing twisting.</t>
  </si>
  <si>
    <t>Furthermore, of course, it is interesting to increase the medium thrust force (row 119) as much as possible. Which inclination angle of the trajectory (row 132) can then be reached depends also on the airfoil and parasite drag (estimated values relating to the wing area inscribe in row 112 and 116).</t>
  </si>
  <si>
    <t>In addition, there must be observed the lift ratio of power flight / gliding flight k_A (row 101). It should be 1,00.</t>
  </si>
  <si>
    <t>In the example the aerodynamic stroke power in the middle of the upstroke (row 74) is at zero. Nevertheless, the stroke power of the wing by aerodynamic forces (row 121) is unequal zero. Both changed with the upstroke circulation characteristic number (row 13). In the construction there is to provide with springs for an upstroke energy recovery system. Otherwise the engine power of powered flight (row 123 and 126) is not correct.</t>
  </si>
  <si>
    <t>8.7</t>
  </si>
  <si>
    <t>2.3</t>
  </si>
  <si>
    <t>2.6</t>
  </si>
  <si>
    <t>2.4</t>
  </si>
  <si>
    <t>2.8</t>
  </si>
  <si>
    <t>2.9</t>
  </si>
  <si>
    <t>6.8</t>
  </si>
  <si>
    <t>2.5</t>
  </si>
  <si>
    <t>6.9</t>
  </si>
  <si>
    <t>6.11</t>
  </si>
  <si>
    <t>2.31</t>
  </si>
  <si>
    <t>5.5</t>
  </si>
  <si>
    <t>2.30</t>
  </si>
  <si>
    <t>2.32</t>
  </si>
  <si>
    <t>5.4</t>
  </si>
  <si>
    <t>5.6</t>
  </si>
  <si>
    <t>6.10</t>
  </si>
  <si>
    <t>6.13</t>
  </si>
  <si>
    <t>8.11</t>
  </si>
  <si>
    <t>5.16</t>
  </si>
  <si>
    <t>5.15</t>
  </si>
  <si>
    <t xml:space="preserve">lift gradient dCL/dα </t>
  </si>
  <si>
    <r>
      <t xml:space="preserve">In the </t>
    </r>
    <r>
      <rPr>
        <b/>
        <sz val="10"/>
        <rFont val="Arial"/>
        <family val="2"/>
      </rPr>
      <t>airfoil</t>
    </r>
    <r>
      <rPr>
        <sz val="10"/>
        <rFont val="Arial"/>
        <family val="2"/>
      </rPr>
      <t xml:space="preserve"> data the gradient of lift c_α = dCL/dα) perhaps may be a little unusual. It is the slope of the linear part of the lift curve (per degree, handbook, chapter 6.3).   </t>
    </r>
  </si>
  <si>
    <t>Equation no.
in Handbook</t>
  </si>
  <si>
    <t>p. B-138</t>
  </si>
  <si>
    <t>p. B-137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</si>
</sst>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0.000"/>
    <numFmt numFmtId="165" formatCode="0.0"/>
    <numFmt numFmtId="166" formatCode="\+#,##0.0;[Red]\-#,##0.0"/>
    <numFmt numFmtId="167" formatCode="_-* #,##0.00\ [$€-1]_-;\-* #,##0.00\ [$€-1]_-;_-* &quot;-&quot;??\ [$€-1]_-"/>
    <numFmt numFmtId="168" formatCode="#,##0.00_ ;\-#,##0.00\ "/>
    <numFmt numFmtId="169" formatCode="\+#,##0.0;\-#,##0.0"/>
  </numFmts>
  <fonts count="27" x14ac:knownFonts="1">
    <font>
      <sz val="10"/>
      <name val="Arial"/>
    </font>
    <font>
      <sz val="10"/>
      <name val="Arial"/>
      <family val="2"/>
    </font>
    <font>
      <b/>
      <sz val="10"/>
      <name val="Arial"/>
      <family val="2"/>
    </font>
    <font>
      <sz val="8"/>
      <name val="Arial"/>
      <family val="2"/>
    </font>
    <font>
      <sz val="10"/>
      <name val="Arial"/>
      <family val="2"/>
    </font>
    <font>
      <sz val="10"/>
      <color indexed="10"/>
      <name val="Arial"/>
      <family val="2"/>
    </font>
    <font>
      <sz val="10"/>
      <name val="Arial"/>
      <family val="2"/>
    </font>
    <font>
      <sz val="9"/>
      <name val="Arial"/>
      <family val="2"/>
    </font>
    <font>
      <b/>
      <sz val="9"/>
      <name val="Arial"/>
      <family val="2"/>
    </font>
    <font>
      <b/>
      <sz val="8"/>
      <name val="Arial"/>
      <family val="2"/>
    </font>
    <font>
      <sz val="8"/>
      <name val="Arial"/>
      <family val="2"/>
    </font>
    <font>
      <sz val="10"/>
      <color indexed="12"/>
      <name val="Arial"/>
      <family val="2"/>
    </font>
    <font>
      <sz val="11"/>
      <name val="Arial"/>
      <family val="2"/>
    </font>
    <font>
      <sz val="10"/>
      <color indexed="10"/>
      <name val="Arial"/>
      <family val="2"/>
    </font>
    <font>
      <b/>
      <sz val="14"/>
      <name val="Arial"/>
      <family val="2"/>
    </font>
    <font>
      <b/>
      <sz val="11"/>
      <name val="Arial"/>
      <family val="2"/>
    </font>
    <font>
      <b/>
      <sz val="10"/>
      <color indexed="10"/>
      <name val="Arial"/>
      <family val="2"/>
    </font>
    <font>
      <sz val="10"/>
      <name val="Symbol"/>
      <family val="1"/>
      <charset val="2"/>
    </font>
    <font>
      <b/>
      <sz val="9"/>
      <color indexed="10"/>
      <name val="Arial"/>
      <family val="2"/>
    </font>
    <font>
      <sz val="9"/>
      <color indexed="12"/>
      <name val="Arial"/>
      <family val="2"/>
    </font>
    <font>
      <sz val="11"/>
      <name val="Arial"/>
      <family val="2"/>
    </font>
    <font>
      <b/>
      <sz val="11"/>
      <color indexed="14"/>
      <name val="Arial"/>
      <family val="2"/>
    </font>
    <font>
      <b/>
      <sz val="10"/>
      <color indexed="14"/>
      <name val="Arial"/>
      <family val="2"/>
    </font>
    <font>
      <vertAlign val="superscript"/>
      <sz val="10"/>
      <name val="Arial"/>
      <family val="2"/>
    </font>
    <font>
      <b/>
      <sz val="18"/>
      <color theme="3"/>
      <name val="Cambria"/>
      <family val="2"/>
      <scheme val="major"/>
    </font>
    <font>
      <b/>
      <sz val="15"/>
      <color theme="3"/>
      <name val="Calibri"/>
      <family val="2"/>
      <scheme val="minor"/>
    </font>
    <font>
      <sz val="10"/>
      <color rgb="FF0070C0"/>
      <name val="Arial"/>
      <family val="2"/>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10"/>
      </left>
      <right style="thin">
        <color indexed="10"/>
      </right>
      <top/>
      <bottom/>
      <diagonal/>
    </border>
    <border>
      <left/>
      <right style="thin">
        <color indexed="64"/>
      </right>
      <top/>
      <bottom/>
      <diagonal/>
    </border>
    <border>
      <left style="thin">
        <color indexed="10"/>
      </left>
      <right style="thin">
        <color indexed="10"/>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10"/>
      </right>
      <top/>
      <bottom style="dotted">
        <color indexed="64"/>
      </bottom>
      <diagonal/>
    </border>
    <border>
      <left style="thin">
        <color indexed="64"/>
      </left>
      <right style="thin">
        <color indexed="10"/>
      </right>
      <top style="dotted">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bottom style="thin">
        <color indexed="10"/>
      </bottom>
      <diagonal/>
    </border>
    <border>
      <left style="thin">
        <color indexed="64"/>
      </left>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right style="thin">
        <color indexed="64"/>
      </right>
      <top style="thin">
        <color indexed="64"/>
      </top>
      <bottom/>
      <diagonal/>
    </border>
    <border>
      <left style="thin">
        <color indexed="64"/>
      </left>
      <right style="thin">
        <color indexed="10"/>
      </right>
      <top style="thin">
        <color indexed="10"/>
      </top>
      <bottom style="thin">
        <color indexed="10"/>
      </bottom>
      <diagonal/>
    </border>
    <border>
      <left style="thin">
        <color indexed="64"/>
      </left>
      <right style="thin">
        <color indexed="10"/>
      </right>
      <top style="thin">
        <color indexed="53"/>
      </top>
      <bottom style="thin">
        <color indexed="53"/>
      </bottom>
      <diagonal/>
    </border>
    <border>
      <left style="thin">
        <color indexed="10"/>
      </left>
      <right/>
      <top/>
      <bottom/>
      <diagonal/>
    </border>
    <border>
      <left style="thin">
        <color indexed="64"/>
      </left>
      <right style="thin">
        <color indexed="64"/>
      </right>
      <top/>
      <bottom style="dashed">
        <color indexed="64"/>
      </bottom>
      <diagonal/>
    </border>
    <border>
      <left/>
      <right/>
      <top/>
      <bottom style="thick">
        <color theme="4"/>
      </bottom>
      <diagonal/>
    </border>
  </borders>
  <cellStyleXfs count="6">
    <xf numFmtId="0" fontId="0" fillId="0" borderId="0"/>
    <xf numFmtId="9" fontId="1" fillId="0" borderId="0" applyFont="0" applyFill="0" applyBorder="0" applyAlignment="0" applyProtection="0"/>
    <xf numFmtId="0" fontId="24" fillId="0" borderId="0" applyNumberFormat="0" applyFill="0" applyBorder="0" applyAlignment="0" applyProtection="0"/>
    <xf numFmtId="0" fontId="25" fillId="0" borderId="32" applyNumberFormat="0" applyFill="0" applyAlignment="0" applyProtection="0"/>
    <xf numFmtId="0" fontId="1" fillId="0" borderId="0"/>
    <xf numFmtId="43" fontId="1" fillId="0" borderId="0" applyFont="0" applyFill="0" applyBorder="0" applyAlignment="0" applyProtection="0"/>
  </cellStyleXfs>
  <cellXfs count="27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center"/>
    </xf>
    <xf numFmtId="0" fontId="3" fillId="2" borderId="5" xfId="0" applyFont="1" applyFill="1" applyBorder="1" applyAlignment="1">
      <alignment horizontal="center" vertical="center"/>
    </xf>
    <xf numFmtId="0" fontId="0" fillId="2" borderId="5" xfId="0" applyFill="1" applyBorder="1" applyAlignment="1">
      <alignmen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3" fillId="2" borderId="3" xfId="0" applyFont="1" applyFill="1" applyBorder="1" applyAlignment="1">
      <alignment horizontal="center" vertical="center"/>
    </xf>
    <xf numFmtId="2" fontId="5" fillId="2" borderId="7" xfId="0" applyNumberFormat="1" applyFont="1" applyFill="1" applyBorder="1" applyAlignment="1" applyProtection="1">
      <alignment horizontal="center" vertical="center"/>
      <protection locked="0"/>
    </xf>
    <xf numFmtId="2" fontId="0" fillId="2" borderId="0" xfId="0" applyNumberFormat="1" applyFill="1" applyAlignment="1">
      <alignment horizontal="center" vertical="center"/>
    </xf>
    <xf numFmtId="2" fontId="0" fillId="2" borderId="8" xfId="0" applyNumberFormat="1" applyFill="1" applyBorder="1" applyAlignment="1">
      <alignment horizontal="center" vertical="center"/>
    </xf>
    <xf numFmtId="0" fontId="5" fillId="2" borderId="7" xfId="0" applyFont="1" applyFill="1" applyBorder="1" applyAlignment="1" applyProtection="1">
      <alignment horizontal="center" vertical="center"/>
      <protection locked="0"/>
    </xf>
    <xf numFmtId="0" fontId="0" fillId="2" borderId="8" xfId="0" applyFill="1" applyBorder="1" applyAlignment="1">
      <alignment horizontal="center" vertical="center"/>
    </xf>
    <xf numFmtId="2" fontId="5" fillId="2" borderId="9" xfId="0" applyNumberFormat="1" applyFont="1" applyFill="1" applyBorder="1" applyAlignment="1" applyProtection="1">
      <alignment horizontal="center" vertical="center"/>
      <protection locked="0"/>
    </xf>
    <xf numFmtId="2" fontId="0" fillId="2" borderId="10" xfId="0" applyNumberFormat="1" applyFill="1" applyBorder="1" applyAlignment="1">
      <alignment horizontal="center" vertical="center"/>
    </xf>
    <xf numFmtId="2" fontId="0" fillId="2" borderId="11" xfId="0" applyNumberFormat="1" applyFill="1" applyBorder="1" applyAlignment="1">
      <alignment horizontal="center" vertical="center"/>
    </xf>
    <xf numFmtId="0" fontId="0" fillId="2" borderId="3" xfId="0" applyFill="1" applyBorder="1" applyAlignment="1">
      <alignment horizontal="left" vertical="center"/>
    </xf>
    <xf numFmtId="165" fontId="5" fillId="2" borderId="9" xfId="0" applyNumberFormat="1" applyFont="1" applyFill="1" applyBorder="1" applyAlignment="1" applyProtection="1">
      <alignment horizontal="center" vertical="center"/>
      <protection locked="0"/>
    </xf>
    <xf numFmtId="164" fontId="5" fillId="2" borderId="7" xfId="0" applyNumberFormat="1" applyFont="1" applyFill="1" applyBorder="1" applyAlignment="1" applyProtection="1">
      <alignment horizontal="center" vertical="center"/>
      <protection locked="0"/>
    </xf>
    <xf numFmtId="164" fontId="0" fillId="2" borderId="0" xfId="0" applyNumberFormat="1" applyFill="1" applyAlignment="1">
      <alignment horizontal="center" vertical="center"/>
    </xf>
    <xf numFmtId="164" fontId="0" fillId="2" borderId="8" xfId="0" applyNumberFormat="1" applyFill="1" applyBorder="1" applyAlignment="1">
      <alignment horizontal="center" vertical="center"/>
    </xf>
    <xf numFmtId="0" fontId="0" fillId="2" borderId="0" xfId="0" applyFill="1" applyBorder="1" applyAlignment="1">
      <alignment horizontal="center" vertical="center"/>
    </xf>
    <xf numFmtId="165" fontId="0" fillId="2" borderId="0" xfId="0" applyNumberFormat="1" applyFill="1" applyBorder="1" applyAlignment="1">
      <alignment horizontal="center" vertical="center"/>
    </xf>
    <xf numFmtId="0" fontId="0" fillId="2" borderId="1" xfId="0" applyFill="1" applyBorder="1" applyAlignment="1">
      <alignment horizontal="center" vertical="center"/>
    </xf>
    <xf numFmtId="0" fontId="8" fillId="2" borderId="0" xfId="0"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Alignment="1" applyProtection="1">
      <alignment horizontal="center" vertical="center"/>
    </xf>
    <xf numFmtId="0" fontId="0" fillId="2" borderId="0" xfId="0" applyFill="1" applyBorder="1" applyAlignment="1" applyProtection="1">
      <alignment horizontal="center" vertical="center"/>
    </xf>
    <xf numFmtId="2" fontId="6" fillId="2" borderId="0" xfId="0" applyNumberFormat="1"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0" fillId="2" borderId="2" xfId="0" applyFill="1" applyBorder="1" applyAlignment="1" applyProtection="1">
      <alignment horizontal="center" vertical="center"/>
    </xf>
    <xf numFmtId="0" fontId="0" fillId="2" borderId="13" xfId="0" applyFill="1" applyBorder="1" applyAlignment="1" applyProtection="1">
      <alignment horizontal="center" vertical="center"/>
    </xf>
    <xf numFmtId="165" fontId="0" fillId="2" borderId="0" xfId="0" applyNumberFormat="1" applyFill="1" applyBorder="1" applyAlignment="1" applyProtection="1">
      <alignment horizontal="center" vertical="center"/>
    </xf>
    <xf numFmtId="0" fontId="0" fillId="2" borderId="14" xfId="0" applyFill="1" applyBorder="1" applyAlignment="1" applyProtection="1">
      <alignment horizontal="center" vertical="center"/>
    </xf>
    <xf numFmtId="165" fontId="0" fillId="2" borderId="14" xfId="0" applyNumberFormat="1" applyFill="1" applyBorder="1" applyAlignment="1" applyProtection="1">
      <alignment horizontal="center" vertical="center"/>
    </xf>
    <xf numFmtId="0" fontId="0" fillId="2" borderId="0" xfId="0" applyFill="1" applyBorder="1" applyAlignment="1" applyProtection="1">
      <alignment vertical="center"/>
    </xf>
    <xf numFmtId="165" fontId="0" fillId="2" borderId="15" xfId="0" applyNumberForma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0" fillId="2" borderId="15" xfId="0" applyFill="1" applyBorder="1" applyAlignment="1" applyProtection="1">
      <alignment vertical="center"/>
    </xf>
    <xf numFmtId="0" fontId="7" fillId="2" borderId="15" xfId="0" applyFont="1" applyFill="1" applyBorder="1" applyAlignment="1" applyProtection="1">
      <alignment horizontal="center" vertical="center"/>
    </xf>
    <xf numFmtId="0" fontId="0" fillId="2" borderId="15" xfId="0" applyFill="1" applyBorder="1" applyAlignment="1" applyProtection="1">
      <alignment horizontal="center" vertical="center"/>
    </xf>
    <xf numFmtId="0" fontId="0" fillId="2" borderId="4" xfId="0" applyFill="1" applyBorder="1" applyAlignment="1" applyProtection="1">
      <alignment horizontal="left" vertical="center" indent="1"/>
    </xf>
    <xf numFmtId="0" fontId="0" fillId="2" borderId="16" xfId="0" applyFill="1" applyBorder="1" applyAlignment="1" applyProtection="1">
      <alignment horizontal="left" vertical="center" indent="1"/>
    </xf>
    <xf numFmtId="0" fontId="6" fillId="2" borderId="0" xfId="0" applyFont="1" applyFill="1" applyBorder="1" applyAlignment="1" applyProtection="1">
      <alignment horizontal="center" vertical="center"/>
    </xf>
    <xf numFmtId="0" fontId="2" fillId="0" borderId="1" xfId="0" applyFont="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3" fillId="2" borderId="14" xfId="0" applyFont="1" applyFill="1" applyBorder="1" applyAlignment="1">
      <alignment horizontal="center" vertical="center"/>
    </xf>
    <xf numFmtId="0" fontId="0" fillId="2" borderId="14" xfId="0" applyFill="1" applyBorder="1" applyAlignment="1">
      <alignment vertical="center"/>
    </xf>
    <xf numFmtId="0" fontId="0" fillId="2" borderId="14" xfId="0" applyFill="1" applyBorder="1" applyAlignment="1">
      <alignment horizontal="center" vertical="center"/>
    </xf>
    <xf numFmtId="165" fontId="6" fillId="2" borderId="19" xfId="0" applyNumberFormat="1" applyFont="1" applyFill="1" applyBorder="1" applyAlignment="1">
      <alignment horizontal="center" vertical="center"/>
    </xf>
    <xf numFmtId="165" fontId="0" fillId="2" borderId="19" xfId="0" applyNumberFormat="1" applyFill="1" applyBorder="1" applyAlignment="1">
      <alignment horizontal="center" vertical="center"/>
    </xf>
    <xf numFmtId="165" fontId="0" fillId="2" borderId="20" xfId="0" applyNumberFormat="1" applyFill="1" applyBorder="1" applyAlignment="1">
      <alignment horizontal="center" vertical="center"/>
    </xf>
    <xf numFmtId="165" fontId="0" fillId="2" borderId="0" xfId="0" applyNumberFormat="1" applyFill="1" applyAlignment="1">
      <alignment horizontal="center" vertical="center"/>
    </xf>
    <xf numFmtId="165" fontId="0" fillId="2" borderId="8" xfId="0" applyNumberFormat="1" applyFill="1" applyBorder="1" applyAlignment="1">
      <alignment horizontal="center" vertical="center"/>
    </xf>
    <xf numFmtId="164" fontId="0" fillId="2" borderId="10" xfId="0" applyNumberFormat="1" applyFill="1" applyBorder="1" applyAlignment="1">
      <alignment horizontal="center" vertical="center"/>
    </xf>
    <xf numFmtId="0" fontId="0" fillId="2" borderId="21" xfId="0" applyFill="1" applyBorder="1" applyAlignment="1">
      <alignment vertical="center"/>
    </xf>
    <xf numFmtId="0" fontId="0" fillId="2" borderId="22" xfId="0" applyFill="1" applyBorder="1" applyAlignment="1">
      <alignment horizontal="center" vertical="center"/>
    </xf>
    <xf numFmtId="0" fontId="0" fillId="2" borderId="21" xfId="0" applyFill="1" applyBorder="1" applyAlignment="1">
      <alignment horizontal="center" vertical="center"/>
    </xf>
    <xf numFmtId="165" fontId="0" fillId="2" borderId="15" xfId="0" applyNumberFormat="1" applyFill="1" applyBorder="1" applyAlignment="1">
      <alignment horizontal="center" vertical="center"/>
    </xf>
    <xf numFmtId="0" fontId="6" fillId="2" borderId="14" xfId="0" applyFont="1" applyFill="1" applyBorder="1" applyAlignment="1">
      <alignment vertical="center"/>
    </xf>
    <xf numFmtId="2" fontId="0" fillId="2" borderId="19" xfId="0" applyNumberFormat="1" applyFill="1" applyBorder="1" applyAlignment="1">
      <alignment horizontal="center" vertical="center"/>
    </xf>
    <xf numFmtId="0" fontId="2" fillId="2" borderId="5" xfId="0" applyFont="1" applyFill="1" applyBorder="1" applyAlignment="1">
      <alignment horizontal="center" vertical="center"/>
    </xf>
    <xf numFmtId="0" fontId="6" fillId="2" borderId="3" xfId="0" applyFont="1" applyFill="1" applyBorder="1" applyAlignment="1">
      <alignment vertical="center"/>
    </xf>
    <xf numFmtId="0" fontId="9" fillId="2" borderId="3" xfId="0" applyFont="1" applyFill="1" applyBorder="1" applyAlignment="1">
      <alignment horizontal="center" vertical="center"/>
    </xf>
    <xf numFmtId="0" fontId="8" fillId="2" borderId="1" xfId="0" applyFont="1" applyFill="1" applyBorder="1" applyAlignment="1">
      <alignment horizontal="center" vertical="center"/>
    </xf>
    <xf numFmtId="165" fontId="0" fillId="2" borderId="2" xfId="0" applyNumberFormat="1" applyFill="1" applyBorder="1" applyAlignment="1">
      <alignment horizontal="center" vertical="center"/>
    </xf>
    <xf numFmtId="165" fontId="0" fillId="2" borderId="13" xfId="0" applyNumberFormat="1" applyFill="1" applyBorder="1" applyAlignment="1">
      <alignment horizontal="center" vertical="center"/>
    </xf>
    <xf numFmtId="0" fontId="0" fillId="2" borderId="15" xfId="0" applyFill="1" applyBorder="1" applyAlignment="1">
      <alignment horizontal="center" vertical="center"/>
    </xf>
    <xf numFmtId="0" fontId="0" fillId="2" borderId="15" xfId="0" applyFill="1" applyBorder="1" applyAlignment="1">
      <alignment vertical="center"/>
    </xf>
    <xf numFmtId="0" fontId="2" fillId="0" borderId="12" xfId="0" applyFont="1" applyBorder="1" applyAlignment="1">
      <alignment horizontal="center" vertical="center"/>
    </xf>
    <xf numFmtId="1" fontId="6" fillId="2" borderId="0" xfId="0" applyNumberFormat="1" applyFont="1" applyFill="1" applyBorder="1" applyAlignment="1" applyProtection="1">
      <alignment horizontal="center" vertical="center"/>
    </xf>
    <xf numFmtId="0" fontId="6" fillId="2" borderId="4" xfId="0" applyFont="1" applyFill="1" applyBorder="1" applyAlignment="1" applyProtection="1">
      <alignment horizontal="center" vertical="center"/>
    </xf>
    <xf numFmtId="0" fontId="6" fillId="2" borderId="8" xfId="0" applyFont="1" applyFill="1" applyBorder="1" applyAlignment="1" applyProtection="1">
      <alignment horizontal="center" vertical="center"/>
    </xf>
    <xf numFmtId="165" fontId="0" fillId="2" borderId="22" xfId="0" applyNumberFormat="1" applyFill="1" applyBorder="1" applyAlignment="1">
      <alignment horizontal="center" vertical="center"/>
    </xf>
    <xf numFmtId="0" fontId="11" fillId="2" borderId="0" xfId="0" applyFont="1" applyFill="1" applyAlignment="1">
      <alignment horizontal="center" vertical="center"/>
    </xf>
    <xf numFmtId="2" fontId="11" fillId="2" borderId="0" xfId="0" applyNumberFormat="1" applyFont="1" applyFill="1" applyAlignment="1">
      <alignment horizontal="center" vertical="center"/>
    </xf>
    <xf numFmtId="2" fontId="11" fillId="2" borderId="10" xfId="0" applyNumberFormat="1" applyFont="1" applyFill="1" applyBorder="1" applyAlignment="1">
      <alignment horizontal="center" vertical="center"/>
    </xf>
    <xf numFmtId="164" fontId="11" fillId="2" borderId="0" xfId="0" applyNumberFormat="1" applyFont="1" applyFill="1" applyAlignment="1">
      <alignment horizontal="center" vertical="center"/>
    </xf>
    <xf numFmtId="0" fontId="11" fillId="2" borderId="0" xfId="0" applyFont="1" applyFill="1" applyBorder="1" applyAlignment="1" applyProtection="1">
      <alignment horizontal="center" vertical="center"/>
    </xf>
    <xf numFmtId="165" fontId="11" fillId="2" borderId="19" xfId="0" applyNumberFormat="1" applyFont="1" applyFill="1" applyBorder="1" applyAlignment="1">
      <alignment horizontal="center" vertical="center"/>
    </xf>
    <xf numFmtId="165" fontId="11" fillId="2" borderId="0" xfId="0" applyNumberFormat="1" applyFont="1" applyFill="1" applyAlignment="1">
      <alignment horizontal="center" vertical="center"/>
    </xf>
    <xf numFmtId="164" fontId="11" fillId="2" borderId="10" xfId="0" applyNumberFormat="1" applyFont="1" applyFill="1" applyBorder="1" applyAlignment="1">
      <alignment horizontal="center" vertical="center"/>
    </xf>
    <xf numFmtId="165" fontId="11" fillId="2" borderId="15" xfId="0" applyNumberFormat="1" applyFont="1" applyFill="1" applyBorder="1" applyAlignment="1">
      <alignment horizontal="center" vertical="center"/>
    </xf>
    <xf numFmtId="2" fontId="11" fillId="2" borderId="19" xfId="0" applyNumberFormat="1" applyFont="1" applyFill="1" applyBorder="1" applyAlignment="1">
      <alignment horizontal="center" vertical="center"/>
    </xf>
    <xf numFmtId="165" fontId="11" fillId="2" borderId="2" xfId="0" applyNumberFormat="1" applyFont="1" applyFill="1" applyBorder="1" applyAlignment="1">
      <alignment horizontal="center" vertical="center"/>
    </xf>
    <xf numFmtId="3" fontId="7" fillId="2" borderId="0" xfId="0" applyNumberFormat="1" applyFont="1" applyFill="1" applyAlignment="1">
      <alignment horizontal="center" vertical="center"/>
    </xf>
    <xf numFmtId="0" fontId="9" fillId="2" borderId="21" xfId="0" applyFont="1" applyFill="1" applyBorder="1" applyAlignment="1">
      <alignment horizontal="center" vertical="center"/>
    </xf>
    <xf numFmtId="0" fontId="0" fillId="2" borderId="0" xfId="0" applyFill="1" applyAlignment="1">
      <alignment vertical="center"/>
    </xf>
    <xf numFmtId="165" fontId="0" fillId="2" borderId="4" xfId="0" applyNumberFormat="1" applyFill="1" applyBorder="1" applyAlignment="1">
      <alignment horizontal="center" vertical="center"/>
    </xf>
    <xf numFmtId="165" fontId="11" fillId="2" borderId="0" xfId="0" applyNumberFormat="1" applyFont="1" applyFill="1" applyBorder="1" applyAlignment="1">
      <alignment horizontal="center" vertical="center"/>
    </xf>
    <xf numFmtId="0" fontId="6" fillId="2" borderId="0" xfId="0" applyFont="1" applyFill="1" applyBorder="1" applyAlignment="1" applyProtection="1">
      <alignment horizontal="left" vertical="center"/>
    </xf>
    <xf numFmtId="0" fontId="0" fillId="2" borderId="21" xfId="0" applyFill="1" applyBorder="1" applyAlignment="1" applyProtection="1">
      <alignment horizontal="center" vertical="center"/>
    </xf>
    <xf numFmtId="0" fontId="0" fillId="2" borderId="3" xfId="0" applyFill="1" applyBorder="1" applyAlignment="1" applyProtection="1">
      <alignment horizontal="left" vertical="center" indent="1"/>
    </xf>
    <xf numFmtId="0" fontId="0" fillId="2" borderId="20" xfId="0" applyFill="1" applyBorder="1" applyAlignment="1" applyProtection="1">
      <alignment horizontal="center" vertical="center"/>
    </xf>
    <xf numFmtId="9" fontId="0" fillId="2" borderId="14" xfId="1" applyFont="1" applyFill="1" applyBorder="1" applyAlignment="1">
      <alignment vertical="center"/>
    </xf>
    <xf numFmtId="165" fontId="0" fillId="2" borderId="21" xfId="0" applyNumberFormat="1" applyFill="1" applyBorder="1" applyAlignment="1" applyProtection="1">
      <alignment horizontal="center" vertical="center"/>
    </xf>
    <xf numFmtId="0" fontId="0" fillId="2" borderId="0" xfId="0" applyFill="1" applyAlignment="1">
      <alignment vertical="top"/>
    </xf>
    <xf numFmtId="0" fontId="14" fillId="2" borderId="0" xfId="0" applyFont="1" applyFill="1" applyBorder="1" applyAlignment="1">
      <alignment vertical="center"/>
    </xf>
    <xf numFmtId="0" fontId="14" fillId="2" borderId="0" xfId="0" applyFont="1" applyFill="1" applyBorder="1" applyAlignment="1" applyProtection="1">
      <alignment vertical="top"/>
    </xf>
    <xf numFmtId="0" fontId="0" fillId="2" borderId="0" xfId="0" applyFill="1" applyAlignment="1" applyProtection="1">
      <alignment horizontal="left" vertical="center"/>
    </xf>
    <xf numFmtId="0" fontId="1" fillId="2" borderId="0" xfId="0" applyFont="1" applyFill="1" applyAlignment="1">
      <alignment vertical="top" wrapText="1"/>
    </xf>
    <xf numFmtId="0" fontId="1" fillId="0" borderId="0" xfId="0" applyFont="1" applyAlignment="1">
      <alignment vertical="top" wrapText="1"/>
    </xf>
    <xf numFmtId="0" fontId="12" fillId="2" borderId="0" xfId="0" applyFont="1" applyFill="1" applyBorder="1" applyAlignment="1" applyProtection="1">
      <alignment vertical="center"/>
    </xf>
    <xf numFmtId="166" fontId="15" fillId="2" borderId="0" xfId="0" applyNumberFormat="1" applyFont="1" applyFill="1" applyBorder="1" applyAlignment="1" applyProtection="1">
      <alignment horizontal="center" vertical="center"/>
    </xf>
    <xf numFmtId="0" fontId="1" fillId="2" borderId="0" xfId="0" applyFont="1" applyFill="1" applyAlignment="1" applyProtection="1">
      <alignment horizontal="center" vertical="center"/>
    </xf>
    <xf numFmtId="0" fontId="0" fillId="2" borderId="3" xfId="0" applyFill="1" applyBorder="1" applyAlignment="1" applyProtection="1">
      <alignment horizontal="center" vertical="center"/>
    </xf>
    <xf numFmtId="0" fontId="0" fillId="2" borderId="4" xfId="0" applyFill="1" applyBorder="1" applyAlignment="1" applyProtection="1">
      <alignment horizontal="center" vertical="center"/>
    </xf>
    <xf numFmtId="0" fontId="6" fillId="2" borderId="21" xfId="0" applyFont="1" applyFill="1" applyBorder="1" applyAlignment="1" applyProtection="1">
      <alignment horizontal="center" vertical="center"/>
    </xf>
    <xf numFmtId="0" fontId="2" fillId="2" borderId="8" xfId="0" applyFont="1" applyFill="1" applyBorder="1" applyAlignment="1">
      <alignment horizontal="center" vertical="center"/>
    </xf>
    <xf numFmtId="0" fontId="6" fillId="2" borderId="0" xfId="0" applyFont="1" applyFill="1" applyAlignment="1">
      <alignment vertical="center"/>
    </xf>
    <xf numFmtId="0" fontId="6" fillId="2" borderId="0" xfId="0" applyFont="1" applyFill="1" applyAlignment="1">
      <alignment horizontal="left" vertical="center" indent="1"/>
    </xf>
    <xf numFmtId="0" fontId="6" fillId="2" borderId="0" xfId="0" applyFont="1" applyFill="1" applyBorder="1" applyAlignment="1" applyProtection="1">
      <alignment horizontal="left" vertical="center" indent="1"/>
    </xf>
    <xf numFmtId="0" fontId="0" fillId="2" borderId="0" xfId="0" applyFill="1" applyAlignment="1">
      <alignment horizontal="left" vertical="top" indent="1"/>
    </xf>
    <xf numFmtId="0" fontId="16" fillId="2" borderId="23" xfId="0" applyFont="1" applyFill="1" applyBorder="1" applyAlignment="1">
      <alignment horizontal="center" vertical="center"/>
    </xf>
    <xf numFmtId="0" fontId="16" fillId="0" borderId="1" xfId="0" applyFont="1" applyBorder="1" applyAlignment="1">
      <alignment horizontal="center" vertical="center"/>
    </xf>
    <xf numFmtId="0" fontId="6" fillId="2" borderId="24" xfId="0" applyFont="1" applyFill="1" applyBorder="1" applyAlignment="1" applyProtection="1">
      <alignment horizontal="center" vertical="center"/>
    </xf>
    <xf numFmtId="2" fontId="0" fillId="2" borderId="0" xfId="0" applyNumberFormat="1" applyFill="1" applyAlignment="1" applyProtection="1">
      <alignment vertical="top"/>
    </xf>
    <xf numFmtId="0" fontId="0" fillId="2" borderId="0" xfId="0" applyFill="1" applyBorder="1" applyAlignment="1" applyProtection="1">
      <alignment horizontal="left" vertical="center" indent="8"/>
    </xf>
    <xf numFmtId="0" fontId="18" fillId="2" borderId="23" xfId="0" applyFont="1" applyFill="1" applyBorder="1" applyAlignment="1" applyProtection="1">
      <alignment horizontal="center" vertical="center"/>
    </xf>
    <xf numFmtId="1" fontId="6" fillId="2" borderId="14" xfId="0" applyNumberFormat="1" applyFont="1" applyFill="1" applyBorder="1" applyAlignment="1" applyProtection="1">
      <alignment horizontal="center" vertical="center"/>
    </xf>
    <xf numFmtId="0" fontId="16" fillId="2" borderId="0" xfId="0" applyFont="1" applyFill="1" applyBorder="1" applyAlignment="1" applyProtection="1">
      <alignment horizontal="left" vertical="center"/>
    </xf>
    <xf numFmtId="2" fontId="0" fillId="2" borderId="0" xfId="0" applyNumberFormat="1" applyFill="1" applyBorder="1" applyAlignment="1">
      <alignment horizontal="center" vertical="center"/>
    </xf>
    <xf numFmtId="2" fontId="11" fillId="2" borderId="0" xfId="0" applyNumberFormat="1" applyFont="1" applyFill="1" applyBorder="1" applyAlignment="1">
      <alignment horizontal="center" vertical="center"/>
    </xf>
    <xf numFmtId="167" fontId="0" fillId="2" borderId="21" xfId="0" applyNumberFormat="1" applyFill="1" applyBorder="1" applyAlignment="1" applyProtection="1">
      <alignment horizontal="center" vertical="center"/>
    </xf>
    <xf numFmtId="167" fontId="6" fillId="2" borderId="3" xfId="0" applyNumberFormat="1" applyFont="1" applyFill="1" applyBorder="1" applyAlignment="1" applyProtection="1">
      <alignment horizontal="center" vertical="center"/>
    </xf>
    <xf numFmtId="167" fontId="0" fillId="2" borderId="3" xfId="0" applyNumberFormat="1" applyFill="1" applyBorder="1" applyAlignment="1" applyProtection="1">
      <alignment horizontal="center" vertical="center"/>
    </xf>
    <xf numFmtId="167" fontId="6" fillId="2" borderId="5" xfId="0" applyNumberFormat="1" applyFont="1" applyFill="1" applyBorder="1" applyAlignment="1" applyProtection="1">
      <alignment horizontal="center" vertical="center"/>
    </xf>
    <xf numFmtId="167" fontId="1" fillId="2" borderId="14" xfId="0" applyNumberFormat="1" applyFont="1" applyFill="1" applyBorder="1" applyAlignment="1" applyProtection="1">
      <alignment horizontal="center" vertical="center"/>
    </xf>
    <xf numFmtId="167" fontId="0" fillId="2" borderId="5" xfId="0" applyNumberFormat="1" applyFill="1" applyBorder="1" applyAlignment="1" applyProtection="1">
      <alignment horizontal="center" vertical="center"/>
    </xf>
    <xf numFmtId="167" fontId="0" fillId="2" borderId="14" xfId="0" applyNumberFormat="1" applyFill="1" applyBorder="1" applyAlignment="1" applyProtection="1">
      <alignment horizontal="center" vertical="center"/>
    </xf>
    <xf numFmtId="167" fontId="6" fillId="2" borderId="1" xfId="0" applyNumberFormat="1" applyFont="1" applyFill="1" applyBorder="1" applyAlignment="1" applyProtection="1">
      <alignment horizontal="center" vertical="center"/>
    </xf>
    <xf numFmtId="0" fontId="11" fillId="2" borderId="0" xfId="0" applyFont="1" applyFill="1" applyBorder="1" applyAlignment="1">
      <alignment horizontal="center" vertical="center"/>
    </xf>
    <xf numFmtId="0" fontId="3" fillId="2" borderId="21" xfId="0" applyFont="1" applyFill="1" applyBorder="1" applyAlignment="1">
      <alignment horizontal="center" vertical="center"/>
    </xf>
    <xf numFmtId="0" fontId="0" fillId="2" borderId="25" xfId="0" applyFill="1" applyBorder="1" applyAlignment="1">
      <alignment horizontal="center" vertical="center"/>
    </xf>
    <xf numFmtId="167" fontId="6" fillId="2" borderId="14" xfId="0" applyNumberFormat="1" applyFont="1" applyFill="1" applyBorder="1" applyAlignment="1" applyProtection="1">
      <alignment horizontal="center" vertical="center"/>
    </xf>
    <xf numFmtId="0" fontId="6" fillId="2" borderId="26" xfId="0" applyFont="1" applyFill="1" applyBorder="1" applyAlignment="1">
      <alignment vertical="center"/>
    </xf>
    <xf numFmtId="167" fontId="17" fillId="2" borderId="26" xfId="0" applyNumberFormat="1" applyFont="1" applyFill="1" applyBorder="1" applyAlignment="1" applyProtection="1">
      <alignment horizontal="center" vertical="center"/>
    </xf>
    <xf numFmtId="0" fontId="2" fillId="2" borderId="15" xfId="0" applyFont="1" applyFill="1" applyBorder="1" applyAlignment="1">
      <alignment horizontal="center" vertical="center"/>
    </xf>
    <xf numFmtId="3" fontId="19" fillId="2" borderId="0" xfId="0" applyNumberFormat="1" applyFont="1" applyFill="1" applyAlignment="1">
      <alignment horizontal="center" vertical="center"/>
    </xf>
    <xf numFmtId="2" fontId="0" fillId="2" borderId="4" xfId="0" applyNumberFormat="1" applyFill="1" applyBorder="1" applyAlignment="1">
      <alignment horizontal="center" vertical="center"/>
    </xf>
    <xf numFmtId="0" fontId="0" fillId="0" borderId="15" xfId="0" applyBorder="1" applyAlignment="1">
      <alignment horizontal="center" vertical="center"/>
    </xf>
    <xf numFmtId="0" fontId="2" fillId="0" borderId="27" xfId="0" applyFont="1" applyBorder="1" applyAlignment="1">
      <alignment horizontal="center" vertical="center"/>
    </xf>
    <xf numFmtId="0" fontId="0" fillId="2" borderId="3" xfId="0" applyFill="1" applyBorder="1" applyAlignment="1">
      <alignment vertical="center" wrapText="1"/>
    </xf>
    <xf numFmtId="0" fontId="7" fillId="2" borderId="3" xfId="0" applyFont="1" applyFill="1" applyBorder="1" applyAlignment="1">
      <alignment vertical="center" wrapText="1"/>
    </xf>
    <xf numFmtId="1" fontId="1" fillId="2" borderId="8" xfId="0" applyNumberFormat="1" applyFont="1" applyFill="1" applyBorder="1" applyAlignment="1">
      <alignment horizontal="center" vertical="center"/>
    </xf>
    <xf numFmtId="1" fontId="0" fillId="2" borderId="8" xfId="0" applyNumberFormat="1" applyFill="1" applyBorder="1" applyAlignment="1">
      <alignment horizontal="center" vertical="center"/>
    </xf>
    <xf numFmtId="2" fontId="6" fillId="2" borderId="8" xfId="0" applyNumberFormat="1" applyFont="1" applyFill="1" applyBorder="1" applyAlignment="1" applyProtection="1">
      <alignment horizontal="center" vertical="center"/>
    </xf>
    <xf numFmtId="2" fontId="5" fillId="2" borderId="28" xfId="0" applyNumberFormat="1" applyFont="1" applyFill="1" applyBorder="1" applyAlignment="1" applyProtection="1">
      <alignment horizontal="center" vertical="center"/>
      <protection locked="0"/>
    </xf>
    <xf numFmtId="0" fontId="2" fillId="2" borderId="21" xfId="0" applyFont="1" applyFill="1" applyBorder="1" applyAlignment="1" applyProtection="1">
      <alignment horizontal="left" vertical="center" indent="1"/>
    </xf>
    <xf numFmtId="165" fontId="0" fillId="2" borderId="3" xfId="0" applyNumberFormat="1" applyFill="1" applyBorder="1" applyAlignment="1" applyProtection="1">
      <alignment horizontal="center" vertical="center"/>
    </xf>
    <xf numFmtId="0" fontId="2" fillId="2" borderId="22" xfId="0" applyFont="1" applyFill="1" applyBorder="1" applyAlignment="1" applyProtection="1">
      <alignment horizontal="left" vertical="center" indent="1"/>
    </xf>
    <xf numFmtId="0" fontId="6" fillId="2" borderId="14" xfId="0" applyFont="1" applyFill="1" applyBorder="1" applyAlignment="1" applyProtection="1">
      <alignment horizontal="center" vertical="center"/>
    </xf>
    <xf numFmtId="164" fontId="13" fillId="0" borderId="28" xfId="0" applyNumberFormat="1" applyFont="1" applyFill="1" applyBorder="1" applyAlignment="1" applyProtection="1">
      <alignment horizontal="center" vertical="center"/>
      <protection locked="0"/>
    </xf>
    <xf numFmtId="2" fontId="6" fillId="2" borderId="21" xfId="0" applyNumberFormat="1" applyFont="1" applyFill="1" applyBorder="1" applyAlignment="1" applyProtection="1">
      <alignment horizontal="center" vertical="center"/>
    </xf>
    <xf numFmtId="164" fontId="13" fillId="0" borderId="29" xfId="0" applyNumberFormat="1" applyFont="1" applyFill="1" applyBorder="1" applyAlignment="1" applyProtection="1">
      <alignment horizontal="center" vertical="center"/>
      <protection locked="0"/>
    </xf>
    <xf numFmtId="1" fontId="0" fillId="2" borderId="3" xfId="0" applyNumberFormat="1" applyFill="1" applyBorder="1" applyAlignment="1" applyProtection="1">
      <alignment horizontal="center" vertical="center"/>
    </xf>
    <xf numFmtId="1" fontId="0" fillId="2" borderId="14" xfId="0" applyNumberFormat="1" applyFill="1" applyBorder="1" applyAlignment="1" applyProtection="1">
      <alignment horizontal="center" vertical="center"/>
    </xf>
    <xf numFmtId="0" fontId="0" fillId="2" borderId="21" xfId="0" applyFill="1" applyBorder="1" applyAlignment="1" applyProtection="1">
      <alignment vertical="center"/>
    </xf>
    <xf numFmtId="0" fontId="17" fillId="2" borderId="3" xfId="0" applyFont="1" applyFill="1" applyBorder="1" applyAlignment="1" applyProtection="1">
      <alignment horizontal="center" vertical="center"/>
    </xf>
    <xf numFmtId="1" fontId="5" fillId="2" borderId="28" xfId="0" applyNumberFormat="1" applyFont="1" applyFill="1" applyBorder="1" applyAlignment="1" applyProtection="1">
      <alignment horizontal="center" vertical="center"/>
      <protection locked="0"/>
    </xf>
    <xf numFmtId="0" fontId="0" fillId="2" borderId="19" xfId="0" applyFill="1" applyBorder="1" applyAlignment="1">
      <alignment horizontal="center" vertical="center"/>
    </xf>
    <xf numFmtId="0" fontId="2" fillId="2" borderId="19" xfId="0" applyFont="1" applyFill="1" applyBorder="1" applyAlignment="1">
      <alignment horizontal="center" vertical="center"/>
    </xf>
    <xf numFmtId="0" fontId="0" fillId="2" borderId="20" xfId="0" applyFill="1" applyBorder="1" applyAlignment="1">
      <alignment horizontal="center" vertical="center"/>
    </xf>
    <xf numFmtId="0" fontId="0" fillId="2" borderId="8" xfId="0" applyFill="1" applyBorder="1" applyAlignment="1" applyProtection="1">
      <alignment horizontal="center" vertical="center"/>
    </xf>
    <xf numFmtId="3" fontId="7" fillId="2" borderId="8" xfId="0" applyNumberFormat="1" applyFont="1" applyFill="1" applyBorder="1" applyAlignment="1">
      <alignment horizontal="center" vertical="center"/>
    </xf>
    <xf numFmtId="164" fontId="0" fillId="2" borderId="11" xfId="0" applyNumberFormat="1" applyFill="1" applyBorder="1" applyAlignment="1">
      <alignment horizontal="center" vertical="center"/>
    </xf>
    <xf numFmtId="2" fontId="0" fillId="2" borderId="30"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27" xfId="0" applyNumberFormat="1" applyFill="1" applyBorder="1" applyAlignment="1">
      <alignment horizontal="center" vertical="center"/>
    </xf>
    <xf numFmtId="2" fontId="0" fillId="2" borderId="20" xfId="0" applyNumberFormat="1" applyFill="1" applyBorder="1" applyAlignment="1">
      <alignment horizontal="center" vertical="center"/>
    </xf>
    <xf numFmtId="164" fontId="0" fillId="2" borderId="0" xfId="0" applyNumberFormat="1" applyFill="1" applyBorder="1" applyAlignment="1">
      <alignment horizontal="center" vertical="center"/>
    </xf>
    <xf numFmtId="0" fontId="2" fillId="2" borderId="22" xfId="0" applyFont="1" applyFill="1" applyBorder="1" applyAlignment="1" applyProtection="1">
      <alignment horizontal="left" vertical="center" wrapText="1" indent="1"/>
    </xf>
    <xf numFmtId="165" fontId="15" fillId="3" borderId="8" xfId="0" applyNumberFormat="1" applyFont="1" applyFill="1" applyBorder="1" applyAlignment="1" applyProtection="1">
      <alignment horizontal="center" vertical="center"/>
    </xf>
    <xf numFmtId="165" fontId="6" fillId="3" borderId="3" xfId="0" applyNumberFormat="1" applyFont="1" applyFill="1" applyBorder="1" applyAlignment="1" applyProtection="1">
      <alignment horizontal="center" vertical="center"/>
    </xf>
    <xf numFmtId="0" fontId="14" fillId="2" borderId="0" xfId="0" applyFont="1" applyFill="1" applyBorder="1" applyAlignment="1" applyProtection="1">
      <alignment horizontal="left" vertical="center" indent="1"/>
    </xf>
    <xf numFmtId="0" fontId="0" fillId="2" borderId="1" xfId="0" applyFill="1" applyBorder="1" applyAlignment="1" applyProtection="1">
      <alignment horizontal="center" vertical="center"/>
    </xf>
    <xf numFmtId="0" fontId="6" fillId="3" borderId="21" xfId="0" applyFont="1" applyFill="1" applyBorder="1" applyAlignment="1" applyProtection="1">
      <alignment horizontal="center" vertical="center"/>
    </xf>
    <xf numFmtId="1" fontId="20" fillId="3" borderId="27" xfId="0" applyNumberFormat="1"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3" xfId="0" applyFont="1" applyFill="1" applyBorder="1" applyAlignment="1">
      <alignment horizontal="center" vertical="center"/>
    </xf>
    <xf numFmtId="0" fontId="20" fillId="3" borderId="22" xfId="0" applyFont="1" applyFill="1" applyBorder="1" applyAlignment="1" applyProtection="1">
      <alignment horizontal="left" vertical="center" indent="1"/>
    </xf>
    <xf numFmtId="0" fontId="20" fillId="3" borderId="4" xfId="0" applyFont="1" applyFill="1" applyBorder="1" applyAlignment="1" applyProtection="1">
      <alignment horizontal="left" vertical="center" indent="1"/>
    </xf>
    <xf numFmtId="0" fontId="0" fillId="2" borderId="3" xfId="0" applyFill="1" applyBorder="1" applyAlignment="1" applyProtection="1">
      <alignment horizontal="left" vertical="center" indent="7"/>
    </xf>
    <xf numFmtId="0" fontId="0" fillId="2" borderId="14" xfId="0" applyFill="1" applyBorder="1" applyAlignment="1" applyProtection="1">
      <alignment horizontal="left" vertical="center" indent="7"/>
    </xf>
    <xf numFmtId="0" fontId="6" fillId="2" borderId="14" xfId="0" applyFont="1" applyFill="1" applyBorder="1" applyAlignment="1" applyProtection="1">
      <alignment horizontal="left" vertical="center" indent="7"/>
    </xf>
    <xf numFmtId="2" fontId="0" fillId="2" borderId="14" xfId="0" applyNumberFormat="1" applyFill="1" applyBorder="1" applyAlignment="1" applyProtection="1">
      <alignment horizontal="center" vertical="center"/>
    </xf>
    <xf numFmtId="0" fontId="0" fillId="2" borderId="14" xfId="0" applyFill="1" applyBorder="1" applyAlignment="1" applyProtection="1">
      <alignment horizontal="left" vertical="center" wrapText="1" indent="7"/>
    </xf>
    <xf numFmtId="0" fontId="2" fillId="3" borderId="4" xfId="0" applyFont="1" applyFill="1" applyBorder="1" applyAlignment="1" applyProtection="1">
      <alignment horizontal="left" vertical="center" indent="1"/>
    </xf>
    <xf numFmtId="2" fontId="0" fillId="2" borderId="3" xfId="0" applyNumberFormat="1" applyFill="1" applyBorder="1" applyAlignment="1" applyProtection="1">
      <alignment horizontal="center" vertical="center"/>
    </xf>
    <xf numFmtId="2" fontId="1" fillId="0" borderId="3" xfId="0" applyNumberFormat="1" applyFont="1" applyFill="1" applyBorder="1" applyAlignment="1" applyProtection="1">
      <alignment horizontal="center" vertical="center"/>
      <protection locked="0"/>
    </xf>
    <xf numFmtId="2" fontId="6" fillId="2" borderId="14" xfId="0" applyNumberFormat="1" applyFont="1" applyFill="1" applyBorder="1" applyAlignment="1" applyProtection="1">
      <alignment horizontal="center" vertical="center"/>
    </xf>
    <xf numFmtId="0" fontId="0" fillId="2" borderId="0" xfId="0" applyFill="1" applyAlignment="1">
      <alignment horizontal="right" vertical="center"/>
    </xf>
    <xf numFmtId="164" fontId="0" fillId="2" borderId="0" xfId="0" applyNumberFormat="1" applyFill="1" applyAlignment="1">
      <alignment horizontal="left" vertical="center"/>
    </xf>
    <xf numFmtId="0" fontId="21" fillId="2" borderId="0" xfId="0" applyFont="1" applyFill="1" applyAlignment="1">
      <alignment vertical="center"/>
    </xf>
    <xf numFmtId="0" fontId="0" fillId="2" borderId="0" xfId="0" applyFill="1" applyAlignment="1">
      <alignment horizontal="center"/>
    </xf>
    <xf numFmtId="0" fontId="0" fillId="2" borderId="0" xfId="0" applyFill="1"/>
    <xf numFmtId="0" fontId="21" fillId="2" borderId="16" xfId="0" applyFont="1" applyFill="1" applyBorder="1" applyAlignment="1">
      <alignment horizontal="left" vertical="center" indent="1"/>
    </xf>
    <xf numFmtId="168" fontId="0" fillId="2" borderId="0" xfId="0" applyNumberFormat="1" applyFill="1" applyAlignment="1">
      <alignment horizontal="center" vertical="center"/>
    </xf>
    <xf numFmtId="2" fontId="6" fillId="2" borderId="1" xfId="0" applyNumberFormat="1" applyFont="1" applyFill="1" applyBorder="1" applyAlignment="1" applyProtection="1">
      <alignment horizontal="center" vertical="center"/>
    </xf>
    <xf numFmtId="0" fontId="0" fillId="2" borderId="0" xfId="0" applyFill="1" applyAlignment="1">
      <alignment horizontal="left" vertical="center" wrapText="1" indent="1"/>
    </xf>
    <xf numFmtId="0" fontId="0" fillId="0" borderId="0" xfId="0" applyAlignment="1">
      <alignment horizontal="left" vertical="center" indent="1"/>
    </xf>
    <xf numFmtId="1" fontId="11" fillId="2" borderId="8" xfId="0" applyNumberFormat="1" applyFont="1" applyFill="1" applyBorder="1" applyAlignment="1">
      <alignment horizontal="center" vertical="center"/>
    </xf>
    <xf numFmtId="1" fontId="11" fillId="2" borderId="27" xfId="0" applyNumberFormat="1" applyFont="1" applyFill="1" applyBorder="1" applyAlignment="1">
      <alignment horizontal="center" vertical="center"/>
    </xf>
    <xf numFmtId="1" fontId="11" fillId="2" borderId="3" xfId="0" applyNumberFormat="1" applyFont="1" applyFill="1" applyBorder="1" applyAlignment="1" applyProtection="1">
      <alignment horizontal="center" vertical="center"/>
    </xf>
    <xf numFmtId="0" fontId="0" fillId="2" borderId="3" xfId="0" applyFill="1" applyBorder="1" applyAlignment="1" applyProtection="1">
      <alignment horizontal="left" vertical="center" wrapText="1"/>
    </xf>
    <xf numFmtId="0" fontId="6" fillId="2" borderId="3" xfId="0" applyFont="1" applyFill="1" applyBorder="1" applyAlignment="1" applyProtection="1">
      <alignment horizontal="left" vertical="center" wrapText="1" indent="7"/>
    </xf>
    <xf numFmtId="1" fontId="0" fillId="2" borderId="21" xfId="0" applyNumberFormat="1" applyFill="1" applyBorder="1" applyAlignment="1" applyProtection="1">
      <alignment horizontal="center" vertical="center"/>
    </xf>
    <xf numFmtId="0" fontId="1" fillId="2" borderId="4" xfId="0" applyFont="1" applyFill="1" applyBorder="1" applyAlignment="1" applyProtection="1">
      <alignment horizontal="center" vertical="center"/>
    </xf>
    <xf numFmtId="0" fontId="1" fillId="2" borderId="6" xfId="0" applyFont="1" applyFill="1" applyBorder="1" applyAlignment="1" applyProtection="1">
      <alignment horizontal="center" vertical="center"/>
    </xf>
    <xf numFmtId="0" fontId="0" fillId="2" borderId="31" xfId="0" applyFill="1" applyBorder="1" applyAlignment="1" applyProtection="1">
      <alignment horizontal="center" vertical="center"/>
    </xf>
    <xf numFmtId="0" fontId="0" fillId="2" borderId="5" xfId="0" applyFill="1" applyBorder="1" applyAlignment="1" applyProtection="1">
      <alignment horizontal="center" vertical="center"/>
    </xf>
    <xf numFmtId="0" fontId="24" fillId="2" borderId="0" xfId="2" applyFill="1" applyAlignment="1">
      <alignment horizontal="center" vertical="center"/>
    </xf>
    <xf numFmtId="0" fontId="25" fillId="2" borderId="0" xfId="3" applyFill="1" applyBorder="1" applyAlignment="1">
      <alignment horizontal="center" vertical="top"/>
    </xf>
    <xf numFmtId="0" fontId="25" fillId="2" borderId="0" xfId="3" applyFill="1" applyBorder="1" applyAlignment="1">
      <alignment vertical="top"/>
    </xf>
    <xf numFmtId="0" fontId="4" fillId="2" borderId="0" xfId="0" applyFont="1" applyFill="1" applyAlignment="1" applyProtection="1">
      <alignment horizontal="left" vertical="center" indent="1"/>
    </xf>
    <xf numFmtId="165" fontId="4" fillId="2" borderId="0" xfId="0" applyNumberFormat="1" applyFont="1" applyFill="1" applyBorder="1" applyAlignment="1" applyProtection="1">
      <alignment horizontal="left" vertical="center" indent="1"/>
    </xf>
    <xf numFmtId="0" fontId="4" fillId="2" borderId="0" xfId="0" applyFont="1" applyFill="1" applyAlignment="1" applyProtection="1">
      <alignment horizontal="left" vertical="center"/>
    </xf>
    <xf numFmtId="0" fontId="4" fillId="2" borderId="14" xfId="0" applyFont="1" applyFill="1" applyBorder="1" applyAlignment="1" applyProtection="1">
      <alignment horizontal="left" vertical="center" indent="7"/>
    </xf>
    <xf numFmtId="165" fontId="26" fillId="2" borderId="15" xfId="0" applyNumberFormat="1" applyFont="1" applyFill="1" applyBorder="1" applyAlignment="1">
      <alignment horizontal="center" vertical="center"/>
    </xf>
    <xf numFmtId="0" fontId="4" fillId="2" borderId="12" xfId="0" applyFont="1" applyFill="1" applyBorder="1" applyAlignment="1" applyProtection="1">
      <alignment horizontal="left" vertical="center" indent="1"/>
    </xf>
    <xf numFmtId="0" fontId="4" fillId="2" borderId="3" xfId="0" applyFont="1" applyFill="1" applyBorder="1" applyAlignment="1">
      <alignment vertical="center"/>
    </xf>
    <xf numFmtId="0" fontId="0" fillId="2" borderId="0" xfId="0" applyFont="1" applyFill="1" applyAlignment="1">
      <alignment vertical="top" wrapText="1"/>
    </xf>
    <xf numFmtId="0" fontId="4" fillId="2" borderId="0" xfId="0" applyFont="1" applyFill="1" applyAlignment="1">
      <alignment vertical="top" wrapText="1"/>
    </xf>
    <xf numFmtId="0" fontId="3" fillId="2" borderId="21" xfId="0" applyFont="1" applyFill="1" applyBorder="1" applyAlignment="1">
      <alignment vertical="center"/>
    </xf>
    <xf numFmtId="0" fontId="3" fillId="2" borderId="3" xfId="0" applyFont="1" applyFill="1" applyBorder="1" applyAlignment="1">
      <alignment vertical="center"/>
    </xf>
    <xf numFmtId="0" fontId="3" fillId="2" borderId="5" xfId="0" applyFont="1" applyFill="1" applyBorder="1" applyAlignment="1">
      <alignment vertical="center"/>
    </xf>
    <xf numFmtId="167" fontId="1" fillId="2" borderId="3" xfId="0" applyNumberFormat="1" applyFont="1" applyFill="1" applyBorder="1" applyAlignment="1" applyProtection="1">
      <alignment horizontal="center" vertical="center"/>
    </xf>
    <xf numFmtId="0" fontId="1" fillId="2" borderId="3" xfId="0" applyFont="1" applyFill="1" applyBorder="1" applyAlignment="1" applyProtection="1">
      <alignment horizontal="center" vertical="center"/>
    </xf>
    <xf numFmtId="1" fontId="1" fillId="2" borderId="3" xfId="0" applyNumberFormat="1" applyFont="1" applyFill="1" applyBorder="1" applyAlignment="1" applyProtection="1">
      <alignment horizontal="center" vertical="center"/>
    </xf>
    <xf numFmtId="0" fontId="1" fillId="2" borderId="3" xfId="0" applyFont="1" applyFill="1" applyBorder="1" applyAlignment="1">
      <alignment vertical="center"/>
    </xf>
    <xf numFmtId="0" fontId="1" fillId="2" borderId="4" xfId="0" applyFont="1" applyFill="1" applyBorder="1" applyAlignment="1">
      <alignment horizontal="center" vertical="center"/>
    </xf>
    <xf numFmtId="0" fontId="1" fillId="2" borderId="3" xfId="0" applyFont="1" applyFill="1" applyBorder="1" applyAlignment="1" applyProtection="1">
      <alignment vertical="center" wrapText="1"/>
    </xf>
    <xf numFmtId="0" fontId="1" fillId="2" borderId="3" xfId="0" applyFont="1" applyFill="1" applyBorder="1" applyAlignment="1">
      <alignment vertical="center" wrapText="1"/>
    </xf>
    <xf numFmtId="165" fontId="6" fillId="2" borderId="8" xfId="0" applyNumberFormat="1" applyFont="1" applyFill="1" applyBorder="1" applyAlignment="1" applyProtection="1">
      <alignment horizontal="center" vertical="center"/>
    </xf>
    <xf numFmtId="0" fontId="1" fillId="2" borderId="21" xfId="0" applyFont="1" applyFill="1" applyBorder="1" applyAlignment="1">
      <alignment vertical="center"/>
    </xf>
    <xf numFmtId="0" fontId="1" fillId="2" borderId="3" xfId="0" applyFont="1" applyFill="1" applyBorder="1" applyAlignment="1">
      <alignment horizontal="center" vertical="center"/>
    </xf>
    <xf numFmtId="1" fontId="6" fillId="2" borderId="3" xfId="0" applyNumberFormat="1" applyFont="1" applyFill="1" applyBorder="1" applyAlignment="1" applyProtection="1">
      <alignment horizontal="center" vertical="center"/>
    </xf>
    <xf numFmtId="0" fontId="1" fillId="2" borderId="15" xfId="0" applyFont="1" applyFill="1" applyBorder="1" applyAlignment="1">
      <alignment vertical="center"/>
    </xf>
    <xf numFmtId="0" fontId="1" fillId="2" borderId="15" xfId="0" applyFont="1" applyFill="1" applyBorder="1" applyAlignment="1">
      <alignment horizontal="center" vertical="center"/>
    </xf>
    <xf numFmtId="1" fontId="6" fillId="2" borderId="15" xfId="0" applyNumberFormat="1" applyFont="1" applyFill="1" applyBorder="1" applyAlignment="1" applyProtection="1">
      <alignment horizontal="center" vertical="center"/>
    </xf>
    <xf numFmtId="49" fontId="3" fillId="4" borderId="1" xfId="4" applyNumberFormat="1" applyFont="1" applyFill="1" applyBorder="1" applyAlignment="1">
      <alignment horizontal="center" vertical="center" wrapText="1"/>
    </xf>
    <xf numFmtId="49" fontId="1" fillId="4" borderId="3" xfId="4" applyNumberFormat="1" applyFont="1" applyFill="1" applyBorder="1" applyAlignment="1">
      <alignment horizontal="center" vertical="center"/>
    </xf>
    <xf numFmtId="49" fontId="1" fillId="4" borderId="14" xfId="4" applyNumberFormat="1" applyFont="1" applyFill="1" applyBorder="1" applyAlignment="1">
      <alignment horizontal="center" vertical="center"/>
    </xf>
    <xf numFmtId="49" fontId="1" fillId="4" borderId="15" xfId="4" applyNumberFormat="1" applyFont="1" applyFill="1" applyBorder="1" applyAlignment="1">
      <alignment horizontal="center" vertical="center"/>
    </xf>
    <xf numFmtId="49" fontId="1" fillId="4" borderId="0" xfId="4" applyNumberFormat="1" applyFont="1" applyFill="1" applyBorder="1" applyAlignment="1">
      <alignment horizontal="center" vertical="center"/>
    </xf>
    <xf numFmtId="49" fontId="1" fillId="4" borderId="19" xfId="4" applyNumberFormat="1" applyFont="1" applyFill="1" applyBorder="1" applyAlignment="1">
      <alignment horizontal="center" vertical="center"/>
    </xf>
    <xf numFmtId="49" fontId="1" fillId="4" borderId="3" xfId="4" applyNumberFormat="1" applyFont="1" applyFill="1" applyBorder="1" applyAlignment="1">
      <alignment horizontal="center" vertical="center" wrapText="1"/>
    </xf>
    <xf numFmtId="0" fontId="12" fillId="0" borderId="3" xfId="0" applyFont="1" applyFill="1" applyBorder="1" applyAlignment="1" applyProtection="1">
      <alignment horizontal="left" vertical="center" indent="1"/>
    </xf>
    <xf numFmtId="0" fontId="0" fillId="0" borderId="14" xfId="0" applyBorder="1" applyAlignment="1">
      <alignment horizontal="left" vertical="center" indent="1"/>
    </xf>
    <xf numFmtId="0" fontId="6" fillId="3" borderId="3" xfId="0" applyFont="1" applyFill="1" applyBorder="1" applyAlignment="1">
      <alignment horizontal="center" vertical="center"/>
    </xf>
    <xf numFmtId="0" fontId="0" fillId="0" borderId="14" xfId="0" applyBorder="1" applyAlignment="1">
      <alignment horizontal="center" vertical="center"/>
    </xf>
    <xf numFmtId="169" fontId="15" fillId="3" borderId="3" xfId="0" applyNumberFormat="1"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165" fontId="1" fillId="2" borderId="15" xfId="0" applyNumberFormat="1" applyFont="1" applyFill="1" applyBorder="1" applyAlignment="1">
      <alignment vertical="center" wrapText="1"/>
    </xf>
    <xf numFmtId="0" fontId="0" fillId="0" borderId="15" xfId="0" applyBorder="1" applyAlignment="1">
      <alignment vertical="center" wrapText="1"/>
    </xf>
    <xf numFmtId="165" fontId="26" fillId="2" borderId="15" xfId="0" applyNumberFormat="1" applyFont="1" applyFill="1" applyBorder="1" applyAlignment="1">
      <alignment horizontal="left" vertical="center" wrapText="1"/>
    </xf>
    <xf numFmtId="0" fontId="26" fillId="0" borderId="15" xfId="0" applyFont="1" applyBorder="1" applyAlignment="1">
      <alignment vertical="center" wrapText="1"/>
    </xf>
    <xf numFmtId="0" fontId="0" fillId="2" borderId="0" xfId="0" applyFill="1" applyAlignment="1">
      <alignment horizontal="left" vertical="center" wrapText="1"/>
    </xf>
    <xf numFmtId="0" fontId="22" fillId="2" borderId="4" xfId="0" applyFont="1" applyFill="1" applyBorder="1" applyAlignment="1">
      <alignment horizontal="center" vertical="center"/>
    </xf>
    <xf numFmtId="0" fontId="22" fillId="0" borderId="0" xfId="0" applyFont="1" applyAlignment="1">
      <alignment horizontal="center" vertical="center"/>
    </xf>
    <xf numFmtId="0" fontId="4" fillId="2" borderId="4" xfId="0" applyFont="1" applyFill="1" applyBorder="1" applyAlignment="1" applyProtection="1">
      <alignment horizontal="left" wrapText="1" indent="1"/>
    </xf>
    <xf numFmtId="0" fontId="0" fillId="0" borderId="0" xfId="0" applyAlignment="1">
      <alignment horizontal="left" wrapText="1" indent="1"/>
    </xf>
    <xf numFmtId="0" fontId="4" fillId="2" borderId="4" xfId="0" applyFont="1" applyFill="1" applyBorder="1" applyAlignment="1">
      <alignment horizontal="left" vertical="center" wrapText="1" indent="1"/>
    </xf>
    <xf numFmtId="0" fontId="0" fillId="0" borderId="0" xfId="0" applyAlignment="1">
      <alignment horizontal="left" vertical="center" wrapText="1" indent="1"/>
    </xf>
  </cellXfs>
  <cellStyles count="6">
    <cellStyle name="Komma 2" xfId="5"/>
    <cellStyle name="Prozent" xfId="1" builtinId="5"/>
    <cellStyle name="Standard" xfId="0" builtinId="0"/>
    <cellStyle name="Standard 2" xfId="4"/>
    <cellStyle name="Überschrift" xfId="2" builtinId="15"/>
    <cellStyle name="Überschrift 1" xfId="3" builtin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chartsheet" Target="chartsheets/sheet3.xml"/><Relationship Id="rId4" Type="http://schemas.openxmlformats.org/officeDocument/2006/relationships/chartsheet" Target="chartsheets/sheet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25" b="1" i="0" u="none" strike="noStrike" baseline="0">
                <a:solidFill>
                  <a:srgbClr val="000000"/>
                </a:solidFill>
                <a:latin typeface="Arial"/>
                <a:ea typeface="Arial"/>
                <a:cs typeface="Arial"/>
              </a:defRPr>
            </a:pPr>
            <a:r>
              <a:rPr lang="en-US"/>
              <a:t>Down wind</a:t>
            </a:r>
          </a:p>
        </c:rich>
      </c:tx>
      <c:layout>
        <c:manualLayout>
          <c:xMode val="edge"/>
          <c:yMode val="edge"/>
          <c:x val="0.37819116867932107"/>
          <c:y val="2.6923076923076925E-2"/>
        </c:manualLayout>
      </c:layout>
      <c:overlay val="0"/>
      <c:spPr>
        <a:noFill/>
        <a:ln w="25400">
          <a:noFill/>
        </a:ln>
      </c:spPr>
    </c:title>
    <c:autoTitleDeleted val="0"/>
    <c:plotArea>
      <c:layout>
        <c:manualLayout>
          <c:layoutTarget val="inner"/>
          <c:xMode val="edge"/>
          <c:yMode val="edge"/>
          <c:x val="0.11136919339640411"/>
          <c:y val="0.21538582887148178"/>
          <c:w val="0.85383048270576489"/>
          <c:h val="0.64231131109888306"/>
        </c:manualLayout>
      </c:layout>
      <c:lineChart>
        <c:grouping val="standard"/>
        <c:varyColors val="0"/>
        <c:ser>
          <c:idx val="0"/>
          <c:order val="0"/>
          <c:tx>
            <c:v>gliding</c:v>
          </c:tx>
          <c:spPr>
            <a:ln w="12700">
              <a:solidFill>
                <a:srgbClr val="0000FF"/>
              </a:solidFill>
              <a:prstDash val="solid"/>
            </a:ln>
          </c:spPr>
          <c:marker>
            <c:symbol val="diamond"/>
            <c:size val="3"/>
            <c:spPr>
              <a:solidFill>
                <a:srgbClr val="FFFFFF"/>
              </a:solidFill>
              <a:ln>
                <a:solidFill>
                  <a:srgbClr val="0000FF"/>
                </a:solidFill>
                <a:prstDash val="solid"/>
              </a:ln>
            </c:spPr>
          </c:marker>
          <c:val>
            <c:numRef>
              <c:f>Spreadsheet!$E$30:$O$30</c:f>
              <c:numCache>
                <c:formatCode>0.00</c:formatCode>
                <c:ptCount val="11"/>
                <c:pt idx="0">
                  <c:v>0.22288414408431653</c:v>
                </c:pt>
                <c:pt idx="1">
                  <c:v>0.22288414408431653</c:v>
                </c:pt>
                <c:pt idx="2">
                  <c:v>0.22288414408431653</c:v>
                </c:pt>
                <c:pt idx="3">
                  <c:v>0.22288414408431653</c:v>
                </c:pt>
                <c:pt idx="4">
                  <c:v>0.22288414408431653</c:v>
                </c:pt>
                <c:pt idx="5">
                  <c:v>0.22288414408431653</c:v>
                </c:pt>
                <c:pt idx="6">
                  <c:v>0.22288414408431653</c:v>
                </c:pt>
                <c:pt idx="7">
                  <c:v>0.22288414408431653</c:v>
                </c:pt>
                <c:pt idx="8">
                  <c:v>0.22288414408431653</c:v>
                </c:pt>
                <c:pt idx="9">
                  <c:v>0.22288414408431653</c:v>
                </c:pt>
                <c:pt idx="10">
                  <c:v>0.22288414408431653</c:v>
                </c:pt>
              </c:numCache>
            </c:numRef>
          </c:val>
          <c:smooth val="0"/>
        </c:ser>
        <c:ser>
          <c:idx val="1"/>
          <c:order val="1"/>
          <c:tx>
            <c:v>upstroke</c:v>
          </c:tx>
          <c:spPr>
            <a:ln w="12700">
              <a:solidFill>
                <a:srgbClr val="00FF00"/>
              </a:solidFill>
              <a:prstDash val="solid"/>
            </a:ln>
          </c:spPr>
          <c:marker>
            <c:symbol val="square"/>
            <c:size val="3"/>
            <c:spPr>
              <a:noFill/>
              <a:ln>
                <a:solidFill>
                  <a:srgbClr val="00FF00"/>
                </a:solidFill>
                <a:prstDash val="solid"/>
              </a:ln>
            </c:spPr>
          </c:marker>
          <c:val>
            <c:numRef>
              <c:f>Spreadsheet!$E$46:$O$46</c:f>
              <c:numCache>
                <c:formatCode>0.00</c:formatCode>
                <c:ptCount val="11"/>
                <c:pt idx="0">
                  <c:v>0.57011824123118549</c:v>
                </c:pt>
                <c:pt idx="1">
                  <c:v>0.45071389998220845</c:v>
                </c:pt>
                <c:pt idx="2">
                  <c:v>0.33130836467787839</c:v>
                </c:pt>
                <c:pt idx="3">
                  <c:v>0.21190282937354837</c:v>
                </c:pt>
                <c:pt idx="4">
                  <c:v>9.2497294069218292E-2</c:v>
                </c:pt>
                <c:pt idx="5">
                  <c:v>-2.6908241235111725E-2</c:v>
                </c:pt>
                <c:pt idx="6">
                  <c:v>-0.14631377653944175</c:v>
                </c:pt>
                <c:pt idx="7">
                  <c:v>-0.26571931184377179</c:v>
                </c:pt>
                <c:pt idx="8">
                  <c:v>-0.38512484714810186</c:v>
                </c:pt>
                <c:pt idx="9">
                  <c:v>-0.50453038245243187</c:v>
                </c:pt>
                <c:pt idx="10">
                  <c:v>-0.62393591775676194</c:v>
                </c:pt>
              </c:numCache>
            </c:numRef>
          </c:val>
          <c:smooth val="0"/>
        </c:ser>
        <c:ser>
          <c:idx val="2"/>
          <c:order val="2"/>
          <c:tx>
            <c:v>downstroke</c:v>
          </c:tx>
          <c:spPr>
            <a:ln w="12700">
              <a:solidFill>
                <a:srgbClr val="FF0000"/>
              </a:solidFill>
              <a:prstDash val="solid"/>
            </a:ln>
          </c:spPr>
          <c:marker>
            <c:symbol val="triangle"/>
            <c:size val="3"/>
            <c:spPr>
              <a:solidFill>
                <a:srgbClr val="FFFFFF"/>
              </a:solidFill>
              <a:ln>
                <a:solidFill>
                  <a:srgbClr val="FF0000"/>
                </a:solidFill>
                <a:prstDash val="solid"/>
              </a:ln>
            </c:spPr>
          </c:marker>
          <c:val>
            <c:numRef>
              <c:f>Spreadsheet!$E$60:$O$60</c:f>
              <c:numCache>
                <c:formatCode>0.00</c:formatCode>
                <c:ptCount val="11"/>
                <c:pt idx="0">
                  <c:v>-2.3158878232149072E-2</c:v>
                </c:pt>
                <c:pt idx="1">
                  <c:v>6.8914545717892295E-2</c:v>
                </c:pt>
                <c:pt idx="2">
                  <c:v>0.16098889041138059</c:v>
                </c:pt>
                <c:pt idx="3">
                  <c:v>0.25306323510486889</c:v>
                </c:pt>
                <c:pt idx="4">
                  <c:v>0.34513757979835724</c:v>
                </c:pt>
                <c:pt idx="5">
                  <c:v>0.43721192449184548</c:v>
                </c:pt>
                <c:pt idx="6">
                  <c:v>0.52928626918533372</c:v>
                </c:pt>
                <c:pt idx="7">
                  <c:v>0.62136061387882202</c:v>
                </c:pt>
                <c:pt idx="8">
                  <c:v>0.71343495857231043</c:v>
                </c:pt>
                <c:pt idx="9">
                  <c:v>0.80550930326579873</c:v>
                </c:pt>
                <c:pt idx="10">
                  <c:v>0.89758364795928702</c:v>
                </c:pt>
              </c:numCache>
            </c:numRef>
          </c:val>
          <c:smooth val="1"/>
        </c:ser>
        <c:dLbls>
          <c:showLegendKey val="0"/>
          <c:showVal val="0"/>
          <c:showCatName val="0"/>
          <c:showSerName val="0"/>
          <c:showPercent val="0"/>
          <c:showBubbleSize val="0"/>
        </c:dLbls>
        <c:marker val="1"/>
        <c:smooth val="0"/>
        <c:axId val="136318976"/>
        <c:axId val="136320896"/>
      </c:lineChart>
      <c:catAx>
        <c:axId val="136318976"/>
        <c:scaling>
          <c:orientation val="minMax"/>
        </c:scaling>
        <c:delete val="0"/>
        <c:axPos val="b"/>
        <c:majorGridlines>
          <c:spPr>
            <a:ln w="3175">
              <a:solidFill>
                <a:srgbClr val="00FFFF"/>
              </a:solidFill>
              <a:prstDash val="sysDash"/>
            </a:ln>
          </c:spPr>
        </c:majorGridlines>
        <c:numFmt formatCode="General" sourceLinked="1"/>
        <c:majorTickMark val="out"/>
        <c:minorTickMark val="none"/>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6320896"/>
        <c:crossesAt val="-1"/>
        <c:auto val="1"/>
        <c:lblAlgn val="ctr"/>
        <c:lblOffset val="100"/>
        <c:tickLblSkip val="1"/>
        <c:tickMarkSkip val="1"/>
        <c:noMultiLvlLbl val="0"/>
      </c:catAx>
      <c:valAx>
        <c:axId val="136320896"/>
        <c:scaling>
          <c:orientation val="minMax"/>
          <c:max val="1.5"/>
          <c:min val="-1"/>
        </c:scaling>
        <c:delete val="0"/>
        <c:axPos val="l"/>
        <c:majorGridlines>
          <c:spPr>
            <a:ln w="3175">
              <a:solidFill>
                <a:srgbClr val="00FFFF"/>
              </a:solidFill>
              <a:prstDash val="sysDash"/>
            </a:ln>
          </c:spPr>
        </c:majorGridlines>
        <c:numFmt formatCode="0.00" sourceLinked="1"/>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6318976"/>
        <c:crosses val="autoZero"/>
        <c:crossBetween val="midCat"/>
        <c:majorUnit val="1"/>
        <c:minorUnit val="0.5"/>
      </c:valAx>
      <c:spPr>
        <a:solidFill>
          <a:srgbClr val="FFFFFF"/>
        </a:solidFill>
        <a:ln w="25400">
          <a:noFill/>
        </a:ln>
      </c:spPr>
    </c:plotArea>
    <c:legend>
      <c:legendPos val="r"/>
      <c:layout>
        <c:manualLayout>
          <c:xMode val="edge"/>
          <c:yMode val="edge"/>
          <c:x val="0.21113749992387842"/>
          <c:y val="0.59615737936604085"/>
          <c:w val="0.28306325398420323"/>
          <c:h val="0.24615536038764385"/>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horizontalDpi="300" verticalDpi="3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75" b="1" i="0" u="none" strike="noStrike" baseline="0">
                <a:solidFill>
                  <a:srgbClr val="000000"/>
                </a:solidFill>
                <a:latin typeface="Arial"/>
                <a:ea typeface="Arial"/>
                <a:cs typeface="Arial"/>
              </a:defRPr>
            </a:pPr>
            <a:r>
              <a:rPr lang="en-US"/>
              <a:t>Lift coefficient</a:t>
            </a:r>
          </a:p>
        </c:rich>
      </c:tx>
      <c:layout>
        <c:manualLayout>
          <c:xMode val="edge"/>
          <c:yMode val="edge"/>
          <c:x val="0.33566494747597114"/>
          <c:y val="3.1746031746031744E-2"/>
        </c:manualLayout>
      </c:layout>
      <c:overlay val="0"/>
      <c:spPr>
        <a:noFill/>
        <a:ln w="25400">
          <a:noFill/>
        </a:ln>
      </c:spPr>
    </c:title>
    <c:autoTitleDeleted val="0"/>
    <c:plotArea>
      <c:layout>
        <c:manualLayout>
          <c:layoutTarget val="inner"/>
          <c:xMode val="edge"/>
          <c:yMode val="edge"/>
          <c:x val="0.11188827107501417"/>
          <c:y val="0.26984270768896895"/>
          <c:w val="0.85314806694698309"/>
          <c:h val="0.66270194388320314"/>
        </c:manualLayout>
      </c:layout>
      <c:lineChart>
        <c:grouping val="standard"/>
        <c:varyColors val="0"/>
        <c:ser>
          <c:idx val="0"/>
          <c:order val="0"/>
          <c:spPr>
            <a:ln w="12700">
              <a:solidFill>
                <a:srgbClr val="0000FF"/>
              </a:solidFill>
              <a:prstDash val="solid"/>
            </a:ln>
          </c:spPr>
          <c:marker>
            <c:symbol val="diamond"/>
            <c:size val="3"/>
            <c:spPr>
              <a:solidFill>
                <a:srgbClr val="FFFFFF"/>
              </a:solidFill>
              <a:ln>
                <a:solidFill>
                  <a:srgbClr val="0000FF"/>
                </a:solidFill>
                <a:prstDash val="solid"/>
              </a:ln>
            </c:spPr>
          </c:marker>
          <c:val>
            <c:numRef>
              <c:f>Spreadsheet!$E$27:$O$27</c:f>
              <c:numCache>
                <c:formatCode>0.00</c:formatCode>
                <c:ptCount val="11"/>
                <c:pt idx="0">
                  <c:v>0.76394372684071588</c:v>
                </c:pt>
                <c:pt idx="1">
                  <c:v>0.76011441086330389</c:v>
                </c:pt>
                <c:pt idx="2">
                  <c:v>0.7485089291843291</c:v>
                </c:pt>
                <c:pt idx="3">
                  <c:v>0.72875586871028197</c:v>
                </c:pt>
                <c:pt idx="4">
                  <c:v>0.70016599098719945</c:v>
                </c:pt>
                <c:pt idx="5">
                  <c:v>0.6615946745061505</c:v>
                </c:pt>
                <c:pt idx="6">
                  <c:v>0.61115498147287795</c:v>
                </c:pt>
                <c:pt idx="7">
                  <c:v>0.54556494486699869</c:v>
                </c:pt>
                <c:pt idx="8">
                  <c:v>0.45836623610465826</c:v>
                </c:pt>
                <c:pt idx="9">
                  <c:v>0.33299535038521838</c:v>
                </c:pt>
                <c:pt idx="10">
                  <c:v>0</c:v>
                </c:pt>
              </c:numCache>
            </c:numRef>
          </c:val>
          <c:smooth val="0"/>
        </c:ser>
        <c:ser>
          <c:idx val="1"/>
          <c:order val="1"/>
          <c:spPr>
            <a:ln w="12700">
              <a:solidFill>
                <a:srgbClr val="00FF00"/>
              </a:solidFill>
              <a:prstDash val="solid"/>
            </a:ln>
          </c:spPr>
          <c:marker>
            <c:symbol val="square"/>
            <c:size val="3"/>
            <c:spPr>
              <a:noFill/>
              <a:ln>
                <a:solidFill>
                  <a:srgbClr val="00FF00"/>
                </a:solidFill>
                <a:prstDash val="solid"/>
              </a:ln>
            </c:spPr>
          </c:marker>
          <c:val>
            <c:numRef>
              <c:f>Spreadsheet!$E$43:$O$43</c:f>
              <c:numCache>
                <c:formatCode>0.00</c:formatCode>
                <c:ptCount val="11"/>
                <c:pt idx="0">
                  <c:v>0.61741094912426742</c:v>
                </c:pt>
                <c:pt idx="1">
                  <c:v>0.57653246866633945</c:v>
                </c:pt>
                <c:pt idx="2">
                  <c:v>0.48892214040808729</c:v>
                </c:pt>
                <c:pt idx="3">
                  <c:v>0.37592668684066044</c:v>
                </c:pt>
                <c:pt idx="4">
                  <c:v>0.25064876975948031</c:v>
                </c:pt>
                <c:pt idx="5">
                  <c:v>0.12379807295081099</c:v>
                </c:pt>
                <c:pt idx="6">
                  <c:v>5.2908381206870289E-3</c:v>
                </c:pt>
                <c:pt idx="7">
                  <c:v>-9.4566952343659291E-2</c:v>
                </c:pt>
                <c:pt idx="8">
                  <c:v>-0.16306062651668579</c:v>
                </c:pt>
                <c:pt idx="9">
                  <c:v>-0.17854031698839631</c:v>
                </c:pt>
                <c:pt idx="10">
                  <c:v>0</c:v>
                </c:pt>
              </c:numCache>
            </c:numRef>
          </c:val>
          <c:smooth val="0"/>
        </c:ser>
        <c:ser>
          <c:idx val="2"/>
          <c:order val="2"/>
          <c:spPr>
            <a:ln w="12700">
              <a:solidFill>
                <a:srgbClr val="FF0000"/>
              </a:solidFill>
              <a:prstDash val="solid"/>
            </a:ln>
          </c:spPr>
          <c:marker>
            <c:symbol val="triangle"/>
            <c:size val="3"/>
            <c:spPr>
              <a:solidFill>
                <a:srgbClr val="FFFFFF"/>
              </a:solidFill>
              <a:ln>
                <a:solidFill>
                  <a:srgbClr val="FF0000"/>
                </a:solidFill>
                <a:prstDash val="solid"/>
              </a:ln>
            </c:spPr>
          </c:marker>
          <c:val>
            <c:numRef>
              <c:f>Spreadsheet!$E$57:$O$57</c:f>
              <c:numCache>
                <c:formatCode>0.00</c:formatCode>
                <c:ptCount val="11"/>
                <c:pt idx="0">
                  <c:v>0.8769360554629132</c:v>
                </c:pt>
                <c:pt idx="1">
                  <c:v>0.89975725901035342</c:v>
                </c:pt>
                <c:pt idx="2">
                  <c:v>0.94116986674806835</c:v>
                </c:pt>
                <c:pt idx="3">
                  <c:v>0.98454964965831515</c:v>
                </c:pt>
                <c:pt idx="4">
                  <c:v>1.0193939928804423</c:v>
                </c:pt>
                <c:pt idx="5">
                  <c:v>1.0365760933706347</c:v>
                </c:pt>
                <c:pt idx="6">
                  <c:v>1.0266492214064722</c:v>
                </c:pt>
                <c:pt idx="7">
                  <c:v>0.97792287237406239</c:v>
                </c:pt>
                <c:pt idx="8">
                  <c:v>0.87219376917118119</c:v>
                </c:pt>
                <c:pt idx="9">
                  <c:v>0.66916297953917181</c:v>
                </c:pt>
                <c:pt idx="10">
                  <c:v>0</c:v>
                </c:pt>
              </c:numCache>
            </c:numRef>
          </c:val>
          <c:smooth val="1"/>
        </c:ser>
        <c:dLbls>
          <c:showLegendKey val="0"/>
          <c:showVal val="0"/>
          <c:showCatName val="0"/>
          <c:showSerName val="0"/>
          <c:showPercent val="0"/>
          <c:showBubbleSize val="0"/>
        </c:dLbls>
        <c:marker val="1"/>
        <c:smooth val="0"/>
        <c:axId val="136330624"/>
        <c:axId val="136345088"/>
      </c:lineChart>
      <c:catAx>
        <c:axId val="136330624"/>
        <c:scaling>
          <c:orientation val="minMax"/>
        </c:scaling>
        <c:delete val="0"/>
        <c:axPos val="b"/>
        <c:majorGridlines>
          <c:spPr>
            <a:ln w="3175">
              <a:solidFill>
                <a:srgbClr val="00FFFF"/>
              </a:solidFill>
              <a:prstDash val="sysDash"/>
            </a:ln>
          </c:spPr>
        </c:majorGridlines>
        <c:numFmt formatCode="General" sourceLinked="1"/>
        <c:majorTickMark val="out"/>
        <c:minorTickMark val="none"/>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6345088"/>
        <c:crosses val="autoZero"/>
        <c:auto val="1"/>
        <c:lblAlgn val="ctr"/>
        <c:lblOffset val="100"/>
        <c:tickLblSkip val="1"/>
        <c:tickMarkSkip val="1"/>
        <c:noMultiLvlLbl val="0"/>
      </c:catAx>
      <c:valAx>
        <c:axId val="136345088"/>
        <c:scaling>
          <c:orientation val="minMax"/>
        </c:scaling>
        <c:delete val="0"/>
        <c:axPos val="l"/>
        <c:majorGridlines>
          <c:spPr>
            <a:ln w="3175">
              <a:solidFill>
                <a:srgbClr val="00FFFF"/>
              </a:solidFill>
              <a:prstDash val="sysDash"/>
            </a:ln>
          </c:spPr>
        </c:majorGridlines>
        <c:numFmt formatCode="0.00" sourceLinked="1"/>
        <c:majorTickMark val="out"/>
        <c:minorTickMark val="none"/>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6330624"/>
        <c:crosses val="autoZero"/>
        <c:crossBetween val="midCat"/>
        <c:majorUnit val="0.2"/>
        <c:minorUnit val="0.1"/>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horizontalDpi="300"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25" b="1" i="0" u="none" strike="noStrike" baseline="0">
                <a:solidFill>
                  <a:srgbClr val="000000"/>
                </a:solidFill>
                <a:latin typeface="Arial"/>
                <a:ea typeface="Arial"/>
                <a:cs typeface="Arial"/>
              </a:defRPr>
            </a:pPr>
            <a:r>
              <a:rPr lang="en-US"/>
              <a:t>Angle of incidence</a:t>
            </a:r>
          </a:p>
        </c:rich>
      </c:tx>
      <c:layout>
        <c:manualLayout>
          <c:xMode val="edge"/>
          <c:yMode val="edge"/>
          <c:x val="0.29603760194311379"/>
          <c:y val="2.4475524475524476E-2"/>
        </c:manualLayout>
      </c:layout>
      <c:overlay val="0"/>
      <c:spPr>
        <a:noFill/>
        <a:ln w="25400">
          <a:noFill/>
        </a:ln>
      </c:spPr>
    </c:title>
    <c:autoTitleDeleted val="0"/>
    <c:plotArea>
      <c:layout>
        <c:manualLayout>
          <c:layoutTarget val="inner"/>
          <c:xMode val="edge"/>
          <c:yMode val="edge"/>
          <c:x val="0.11188827107501417"/>
          <c:y val="0.14685339757258928"/>
          <c:w val="0.85314806694698309"/>
          <c:h val="0.72377745946490424"/>
        </c:manualLayout>
      </c:layout>
      <c:lineChart>
        <c:grouping val="standard"/>
        <c:varyColors val="0"/>
        <c:ser>
          <c:idx val="0"/>
          <c:order val="0"/>
          <c:tx>
            <c:v>Gleitflug</c:v>
          </c:tx>
          <c:spPr>
            <a:ln w="12700">
              <a:solidFill>
                <a:srgbClr val="0000FF"/>
              </a:solidFill>
              <a:prstDash val="solid"/>
            </a:ln>
          </c:spPr>
          <c:marker>
            <c:symbol val="diamond"/>
            <c:size val="5"/>
            <c:spPr>
              <a:solidFill>
                <a:srgbClr val="FFFFFF"/>
              </a:solidFill>
              <a:ln>
                <a:solidFill>
                  <a:srgbClr val="0000FF"/>
                </a:solidFill>
                <a:prstDash val="solid"/>
              </a:ln>
            </c:spPr>
          </c:marker>
          <c:val>
            <c:numRef>
              <c:f>Spreadsheet!$E$32:$O$32</c:f>
              <c:numCache>
                <c:formatCode>0.0</c:formatCode>
                <c:ptCount val="11"/>
                <c:pt idx="0">
                  <c:v>4.4211966891549119</c:v>
                </c:pt>
                <c:pt idx="1">
                  <c:v>4.3804592851398914</c:v>
                </c:pt>
                <c:pt idx="2">
                  <c:v>4.2569967140869673</c:v>
                </c:pt>
                <c:pt idx="3">
                  <c:v>4.0468577728737003</c:v>
                </c:pt>
                <c:pt idx="4">
                  <c:v>3.7427101375217582</c:v>
                </c:pt>
                <c:pt idx="5">
                  <c:v>3.3323769834680457</c:v>
                </c:pt>
                <c:pt idx="6">
                  <c:v>2.7957845043906779</c:v>
                </c:pt>
                <c:pt idx="7">
                  <c:v>2.0980181575196228</c:v>
                </c:pt>
                <c:pt idx="8">
                  <c:v>1.1703723196223841</c:v>
                </c:pt>
                <c:pt idx="9">
                  <c:v>-0.16336050718016804</c:v>
                </c:pt>
                <c:pt idx="10">
                  <c:v>-3.7058642346824913</c:v>
                </c:pt>
              </c:numCache>
            </c:numRef>
          </c:val>
          <c:smooth val="0"/>
        </c:ser>
        <c:ser>
          <c:idx val="1"/>
          <c:order val="1"/>
          <c:tx>
            <c:v>Aufschlag</c:v>
          </c:tx>
          <c:spPr>
            <a:ln w="12700">
              <a:solidFill>
                <a:srgbClr val="00FF00"/>
              </a:solidFill>
              <a:prstDash val="solid"/>
            </a:ln>
          </c:spPr>
          <c:marker>
            <c:symbol val="square"/>
            <c:size val="3"/>
            <c:spPr>
              <a:noFill/>
              <a:ln>
                <a:solidFill>
                  <a:srgbClr val="00FF00"/>
                </a:solidFill>
                <a:prstDash val="solid"/>
              </a:ln>
            </c:spPr>
          </c:marker>
          <c:val>
            <c:numRef>
              <c:f>Spreadsheet!$E$49:$O$49</c:f>
              <c:numCache>
                <c:formatCode>0.0</c:formatCode>
                <c:ptCount val="11"/>
                <c:pt idx="0">
                  <c:v>4.4194609131809157</c:v>
                </c:pt>
                <c:pt idx="1">
                  <c:v>6.4859209649997993</c:v>
                </c:pt>
                <c:pt idx="2">
                  <c:v>8.0347678828150748</c:v>
                </c:pt>
                <c:pt idx="3">
                  <c:v>9.2812065325597892</c:v>
                </c:pt>
                <c:pt idx="4">
                  <c:v>10.353680151413181</c:v>
                </c:pt>
                <c:pt idx="5">
                  <c:v>11.356354232263538</c:v>
                </c:pt>
                <c:pt idx="6">
                  <c:v>12.386318846386892</c:v>
                </c:pt>
                <c:pt idx="7">
                  <c:v>13.546280137833531</c:v>
                </c:pt>
                <c:pt idx="8">
                  <c:v>14.96606540871338</c:v>
                </c:pt>
                <c:pt idx="9">
                  <c:v>16.872013644854292</c:v>
                </c:pt>
                <c:pt idx="10">
                  <c:v>20.761572985072892</c:v>
                </c:pt>
              </c:numCache>
            </c:numRef>
          </c:val>
          <c:smooth val="0"/>
        </c:ser>
        <c:ser>
          <c:idx val="2"/>
          <c:order val="2"/>
          <c:tx>
            <c:v>Abschlag</c:v>
          </c:tx>
          <c:spPr>
            <a:ln w="12700">
              <a:solidFill>
                <a:srgbClr val="FF0000"/>
              </a:solidFill>
              <a:prstDash val="solid"/>
            </a:ln>
          </c:spPr>
          <c:marker>
            <c:symbol val="triangle"/>
            <c:size val="3"/>
            <c:spPr>
              <a:solidFill>
                <a:srgbClr val="FFFFFF"/>
              </a:solidFill>
              <a:ln>
                <a:solidFill>
                  <a:srgbClr val="FF0000"/>
                </a:solidFill>
                <a:prstDash val="solid"/>
              </a:ln>
            </c:spPr>
          </c:marker>
          <c:val>
            <c:numRef>
              <c:f>Spreadsheet!$E$63:$O$63</c:f>
              <c:numCache>
                <c:formatCode>0.0</c:formatCode>
                <c:ptCount val="11"/>
                <c:pt idx="0">
                  <c:v>4.4213034993916311</c:v>
                </c:pt>
                <c:pt idx="1">
                  <c:v>2.0330690828913625</c:v>
                </c:pt>
                <c:pt idx="2">
                  <c:v>-0.1434336611024396</c:v>
                </c:pt>
                <c:pt idx="3">
                  <c:v>-2.2718086516625107</c:v>
                </c:pt>
                <c:pt idx="4">
                  <c:v>-4.4513900798892312</c:v>
                </c:pt>
                <c:pt idx="5">
                  <c:v>-6.7680344651469388</c:v>
                </c:pt>
                <c:pt idx="6">
                  <c:v>-9.3124100812455808</c:v>
                </c:pt>
                <c:pt idx="7">
                  <c:v>-12.200621955817889</c:v>
                </c:pt>
                <c:pt idx="8">
                  <c:v>-15.619694597899516</c:v>
                </c:pt>
                <c:pt idx="9">
                  <c:v>-19.993333411237284</c:v>
                </c:pt>
                <c:pt idx="10">
                  <c:v>-29.241800154907111</c:v>
                </c:pt>
              </c:numCache>
            </c:numRef>
          </c:val>
          <c:smooth val="0"/>
        </c:ser>
        <c:dLbls>
          <c:showLegendKey val="0"/>
          <c:showVal val="0"/>
          <c:showCatName val="0"/>
          <c:showSerName val="0"/>
          <c:showPercent val="0"/>
          <c:showBubbleSize val="0"/>
        </c:dLbls>
        <c:marker val="1"/>
        <c:smooth val="0"/>
        <c:axId val="136374912"/>
        <c:axId val="136377088"/>
      </c:lineChart>
      <c:catAx>
        <c:axId val="136374912"/>
        <c:scaling>
          <c:orientation val="minMax"/>
        </c:scaling>
        <c:delete val="0"/>
        <c:axPos val="b"/>
        <c:majorGridlines>
          <c:spPr>
            <a:ln w="3175">
              <a:solidFill>
                <a:srgbClr val="00FFFF"/>
              </a:solidFill>
              <a:prstDash val="sysDash"/>
            </a:ln>
          </c:spPr>
        </c:majorGridlines>
        <c:numFmt formatCode="General" sourceLinked="1"/>
        <c:majorTickMark val="out"/>
        <c:minorTickMark val="none"/>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6377088"/>
        <c:crossesAt val="-40"/>
        <c:auto val="1"/>
        <c:lblAlgn val="ctr"/>
        <c:lblOffset val="100"/>
        <c:tickLblSkip val="1"/>
        <c:tickMarkSkip val="1"/>
        <c:noMultiLvlLbl val="0"/>
      </c:catAx>
      <c:valAx>
        <c:axId val="136377088"/>
        <c:scaling>
          <c:orientation val="minMax"/>
        </c:scaling>
        <c:delete val="0"/>
        <c:axPos val="l"/>
        <c:majorGridlines>
          <c:spPr>
            <a:ln w="3175">
              <a:solidFill>
                <a:srgbClr val="00FFFF"/>
              </a:solidFill>
              <a:prstDash val="sysDash"/>
            </a:ln>
          </c:spPr>
        </c:majorGridlines>
        <c:numFmt formatCode="0.0" sourceLinked="1"/>
        <c:majorTickMark val="out"/>
        <c:minorTickMark val="none"/>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6374912"/>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a:lstStyle/>
          <a:p>
            <a:pPr>
              <a:defRPr sz="2000" b="1" i="0" u="none" strike="noStrike" baseline="0">
                <a:solidFill>
                  <a:srgbClr val="000000"/>
                </a:solidFill>
                <a:latin typeface="Arial"/>
                <a:ea typeface="Arial"/>
                <a:cs typeface="Arial"/>
              </a:defRPr>
            </a:pPr>
            <a:r>
              <a:rPr lang="en-US"/>
              <a:t>Lift coefficient</a:t>
            </a:r>
          </a:p>
        </c:rich>
      </c:tx>
      <c:layout>
        <c:manualLayout>
          <c:xMode val="edge"/>
          <c:yMode val="edge"/>
          <c:x val="0.40617180984153461"/>
          <c:y val="3.7685060565275909E-2"/>
        </c:manualLayout>
      </c:layout>
      <c:overlay val="0"/>
      <c:spPr>
        <a:noFill/>
        <a:ln w="25400">
          <a:noFill/>
        </a:ln>
      </c:spPr>
    </c:title>
    <c:autoTitleDeleted val="0"/>
    <c:plotArea>
      <c:layout>
        <c:manualLayout>
          <c:layoutTarget val="inner"/>
          <c:xMode val="edge"/>
          <c:yMode val="edge"/>
          <c:x val="9.0909090909090912E-2"/>
          <c:y val="0.15343203230148048"/>
          <c:w val="0.75479566305254364"/>
          <c:h val="0.76446837146702562"/>
        </c:manualLayout>
      </c:layout>
      <c:lineChart>
        <c:grouping val="standard"/>
        <c:varyColors val="0"/>
        <c:ser>
          <c:idx val="0"/>
          <c:order val="0"/>
          <c:tx>
            <c:v>gliding</c:v>
          </c:tx>
          <c:spPr>
            <a:ln w="12700">
              <a:solidFill>
                <a:srgbClr val="3366FF"/>
              </a:solidFill>
              <a:prstDash val="solid"/>
            </a:ln>
          </c:spPr>
          <c:marker>
            <c:symbol val="diamond"/>
            <c:size val="5"/>
            <c:spPr>
              <a:solidFill>
                <a:srgbClr val="FFFFFF"/>
              </a:solidFill>
              <a:ln>
                <a:solidFill>
                  <a:srgbClr val="3366FF"/>
                </a:solidFill>
                <a:prstDash val="solid"/>
              </a:ln>
            </c:spPr>
          </c:marker>
          <c:val>
            <c:numRef>
              <c:f>Spreadsheet!$E$27:$O$27</c:f>
              <c:numCache>
                <c:formatCode>0.00</c:formatCode>
                <c:ptCount val="11"/>
                <c:pt idx="0">
                  <c:v>0.76394372684071588</c:v>
                </c:pt>
                <c:pt idx="1">
                  <c:v>0.76011441086330389</c:v>
                </c:pt>
                <c:pt idx="2">
                  <c:v>0.7485089291843291</c:v>
                </c:pt>
                <c:pt idx="3">
                  <c:v>0.72875586871028197</c:v>
                </c:pt>
                <c:pt idx="4">
                  <c:v>0.70016599098719945</c:v>
                </c:pt>
                <c:pt idx="5">
                  <c:v>0.6615946745061505</c:v>
                </c:pt>
                <c:pt idx="6">
                  <c:v>0.61115498147287795</c:v>
                </c:pt>
                <c:pt idx="7">
                  <c:v>0.54556494486699869</c:v>
                </c:pt>
                <c:pt idx="8">
                  <c:v>0.45836623610465826</c:v>
                </c:pt>
                <c:pt idx="9">
                  <c:v>0.33299535038521838</c:v>
                </c:pt>
                <c:pt idx="10">
                  <c:v>0</c:v>
                </c:pt>
              </c:numCache>
            </c:numRef>
          </c:val>
          <c:smooth val="1"/>
        </c:ser>
        <c:ser>
          <c:idx val="1"/>
          <c:order val="1"/>
          <c:tx>
            <c:v>upstroke</c:v>
          </c:tx>
          <c:spPr>
            <a:ln w="12700">
              <a:solidFill>
                <a:srgbClr val="00FF00"/>
              </a:solidFill>
              <a:prstDash val="sysDash"/>
            </a:ln>
          </c:spPr>
          <c:marker>
            <c:symbol val="square"/>
            <c:size val="5"/>
            <c:spPr>
              <a:solidFill>
                <a:srgbClr val="FFFFFF"/>
              </a:solidFill>
              <a:ln>
                <a:solidFill>
                  <a:srgbClr val="00FF00"/>
                </a:solidFill>
                <a:prstDash val="solid"/>
              </a:ln>
            </c:spPr>
          </c:marker>
          <c:val>
            <c:numRef>
              <c:f>Spreadsheet!$E$43:$O$43</c:f>
              <c:numCache>
                <c:formatCode>0.00</c:formatCode>
                <c:ptCount val="11"/>
                <c:pt idx="0">
                  <c:v>0.61741094912426742</c:v>
                </c:pt>
                <c:pt idx="1">
                  <c:v>0.57653246866633945</c:v>
                </c:pt>
                <c:pt idx="2">
                  <c:v>0.48892214040808729</c:v>
                </c:pt>
                <c:pt idx="3">
                  <c:v>0.37592668684066044</c:v>
                </c:pt>
                <c:pt idx="4">
                  <c:v>0.25064876975948031</c:v>
                </c:pt>
                <c:pt idx="5">
                  <c:v>0.12379807295081099</c:v>
                </c:pt>
                <c:pt idx="6">
                  <c:v>5.2908381206870289E-3</c:v>
                </c:pt>
                <c:pt idx="7">
                  <c:v>-9.4566952343659291E-2</c:v>
                </c:pt>
                <c:pt idx="8">
                  <c:v>-0.16306062651668579</c:v>
                </c:pt>
                <c:pt idx="9">
                  <c:v>-0.17854031698839631</c:v>
                </c:pt>
                <c:pt idx="10">
                  <c:v>0</c:v>
                </c:pt>
              </c:numCache>
            </c:numRef>
          </c:val>
          <c:smooth val="1"/>
        </c:ser>
        <c:ser>
          <c:idx val="2"/>
          <c:order val="2"/>
          <c:tx>
            <c:v>downstroke</c:v>
          </c:tx>
          <c:spPr>
            <a:ln w="12700">
              <a:solidFill>
                <a:srgbClr val="FF0000"/>
              </a:solidFill>
              <a:prstDash val="lgDash"/>
            </a:ln>
          </c:spPr>
          <c:marker>
            <c:symbol val="triangle"/>
            <c:size val="5"/>
            <c:spPr>
              <a:solidFill>
                <a:srgbClr val="FFFFFF"/>
              </a:solidFill>
              <a:ln>
                <a:solidFill>
                  <a:srgbClr val="FF0000"/>
                </a:solidFill>
                <a:prstDash val="solid"/>
              </a:ln>
            </c:spPr>
          </c:marker>
          <c:val>
            <c:numRef>
              <c:f>Spreadsheet!$E$57:$O$57</c:f>
              <c:numCache>
                <c:formatCode>0.00</c:formatCode>
                <c:ptCount val="11"/>
                <c:pt idx="0">
                  <c:v>0.8769360554629132</c:v>
                </c:pt>
                <c:pt idx="1">
                  <c:v>0.89975725901035342</c:v>
                </c:pt>
                <c:pt idx="2">
                  <c:v>0.94116986674806835</c:v>
                </c:pt>
                <c:pt idx="3">
                  <c:v>0.98454964965831515</c:v>
                </c:pt>
                <c:pt idx="4">
                  <c:v>1.0193939928804423</c:v>
                </c:pt>
                <c:pt idx="5">
                  <c:v>1.0365760933706347</c:v>
                </c:pt>
                <c:pt idx="6">
                  <c:v>1.0266492214064722</c:v>
                </c:pt>
                <c:pt idx="7">
                  <c:v>0.97792287237406239</c:v>
                </c:pt>
                <c:pt idx="8">
                  <c:v>0.87219376917118119</c:v>
                </c:pt>
                <c:pt idx="9">
                  <c:v>0.66916297953917181</c:v>
                </c:pt>
                <c:pt idx="10">
                  <c:v>0</c:v>
                </c:pt>
              </c:numCache>
            </c:numRef>
          </c:val>
          <c:smooth val="1"/>
        </c:ser>
        <c:dLbls>
          <c:showLegendKey val="0"/>
          <c:showVal val="0"/>
          <c:showCatName val="0"/>
          <c:showSerName val="0"/>
          <c:showPercent val="0"/>
          <c:showBubbleSize val="0"/>
        </c:dLbls>
        <c:marker val="1"/>
        <c:smooth val="0"/>
        <c:axId val="136411392"/>
        <c:axId val="136422144"/>
      </c:lineChart>
      <c:catAx>
        <c:axId val="136411392"/>
        <c:scaling>
          <c:orientation val="minMax"/>
        </c:scaling>
        <c:delete val="0"/>
        <c:axPos val="b"/>
        <c:majorGridlines>
          <c:spPr>
            <a:ln w="3175">
              <a:solidFill>
                <a:srgbClr val="00FFFF"/>
              </a:solidFill>
              <a:prstDash val="sysDash"/>
            </a:ln>
          </c:spPr>
        </c:majorGridlines>
        <c:title>
          <c:tx>
            <c:rich>
              <a:bodyPr/>
              <a:lstStyle/>
              <a:p>
                <a:pPr>
                  <a:defRPr sz="1200" b="1" i="0" u="none" strike="noStrike" baseline="0">
                    <a:solidFill>
                      <a:srgbClr val="000000"/>
                    </a:solidFill>
                    <a:latin typeface="Arial"/>
                    <a:ea typeface="Arial"/>
                    <a:cs typeface="Arial"/>
                  </a:defRPr>
                </a:pPr>
                <a:r>
                  <a:rPr lang="de-DE"/>
                  <a:t>Number of wing stations</a:t>
                </a:r>
              </a:p>
            </c:rich>
          </c:tx>
          <c:layout>
            <c:manualLayout>
              <c:xMode val="edge"/>
              <c:yMode val="edge"/>
              <c:x val="0.37364470391993332"/>
              <c:y val="0.93405114401076705"/>
            </c:manualLayout>
          </c:layout>
          <c:overlay val="0"/>
          <c:spPr>
            <a:noFill/>
            <a:ln w="25400">
              <a:noFill/>
            </a:ln>
          </c:spPr>
        </c:title>
        <c:numFmt formatCode="General" sourceLinked="1"/>
        <c:majorTickMark val="out"/>
        <c:minorTickMark val="none"/>
        <c:tickLblPos val="nextTo"/>
        <c:spPr>
          <a:ln w="25400">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de-DE"/>
          </a:p>
        </c:txPr>
        <c:crossAx val="136422144"/>
        <c:crosses val="autoZero"/>
        <c:auto val="1"/>
        <c:lblAlgn val="ctr"/>
        <c:lblOffset val="100"/>
        <c:tickLblSkip val="1"/>
        <c:tickMarkSkip val="1"/>
        <c:noMultiLvlLbl val="0"/>
      </c:catAx>
      <c:valAx>
        <c:axId val="136422144"/>
        <c:scaling>
          <c:orientation val="minMax"/>
        </c:scaling>
        <c:delete val="0"/>
        <c:axPos val="l"/>
        <c:majorGridlines>
          <c:spPr>
            <a:ln w="3175">
              <a:solidFill>
                <a:srgbClr val="00FFFF"/>
              </a:solidFill>
              <a:prstDash val="sysDash"/>
            </a:ln>
          </c:spPr>
        </c:majorGridlines>
        <c:title>
          <c:tx>
            <c:rich>
              <a:bodyPr/>
              <a:lstStyle/>
              <a:p>
                <a:pPr>
                  <a:defRPr sz="1100" b="1" i="0" u="none" strike="noStrike" baseline="0">
                    <a:solidFill>
                      <a:srgbClr val="000000"/>
                    </a:solidFill>
                    <a:latin typeface="Arial"/>
                    <a:ea typeface="Arial"/>
                    <a:cs typeface="Arial"/>
                  </a:defRPr>
                </a:pPr>
                <a:r>
                  <a:rPr lang="de-DE"/>
                  <a:t>lift coefficient c_l   resp. c_a</a:t>
                </a:r>
              </a:p>
            </c:rich>
          </c:tx>
          <c:layout>
            <c:manualLayout>
              <c:xMode val="edge"/>
              <c:yMode val="edge"/>
              <c:x val="2.1684737281067557E-2"/>
              <c:y val="0.36877523553162855"/>
            </c:manualLayout>
          </c:layout>
          <c:overlay val="0"/>
          <c:spPr>
            <a:noFill/>
            <a:ln w="25400">
              <a:noFill/>
            </a:ln>
          </c:spPr>
        </c:title>
        <c:numFmt formatCode="0.00" sourceLinked="1"/>
        <c:majorTickMark val="out"/>
        <c:minorTickMark val="none"/>
        <c:tickLblPos val="nextTo"/>
        <c:spPr>
          <a:ln w="25400">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de-DE"/>
          </a:p>
        </c:txPr>
        <c:crossAx val="136411392"/>
        <c:crosses val="autoZero"/>
        <c:crossBetween val="midCat"/>
      </c:valAx>
      <c:spPr>
        <a:noFill/>
        <a:ln w="25400">
          <a:noFill/>
        </a:ln>
      </c:spPr>
    </c:plotArea>
    <c:legend>
      <c:legendPos val="r"/>
      <c:layout>
        <c:manualLayout>
          <c:xMode val="edge"/>
          <c:yMode val="edge"/>
          <c:x val="0.86655546288573815"/>
          <c:y val="0.42664872139973076"/>
          <c:w val="0.13177648040033363"/>
          <c:h val="0.15881561238223418"/>
        </c:manualLayout>
      </c:layout>
      <c:overlay val="0"/>
      <c:spPr>
        <a:solidFill>
          <a:srgbClr val="FFFFFF"/>
        </a:solidFill>
        <a:ln w="25400">
          <a:noFill/>
        </a:ln>
      </c:spPr>
      <c:txPr>
        <a:bodyPr/>
        <a:lstStyle/>
        <a:p>
          <a:pPr>
            <a:defRPr sz="84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de-DE"/>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a:lstStyle/>
          <a:p>
            <a:pPr>
              <a:defRPr sz="2000" b="1" i="0" u="none" strike="noStrike" baseline="0">
                <a:solidFill>
                  <a:srgbClr val="000000"/>
                </a:solidFill>
                <a:latin typeface="Arial"/>
                <a:ea typeface="Arial"/>
                <a:cs typeface="Arial"/>
              </a:defRPr>
            </a:pPr>
            <a:r>
              <a:rPr lang="en-US"/>
              <a:t>Down wind on the wing</a:t>
            </a:r>
          </a:p>
        </c:rich>
      </c:tx>
      <c:layout>
        <c:manualLayout>
          <c:xMode val="edge"/>
          <c:yMode val="edge"/>
          <c:x val="0.34528773978315264"/>
          <c:y val="2.9729729729729728E-2"/>
        </c:manualLayout>
      </c:layout>
      <c:overlay val="0"/>
      <c:spPr>
        <a:noFill/>
        <a:ln w="25400">
          <a:noFill/>
        </a:ln>
      </c:spPr>
    </c:title>
    <c:autoTitleDeleted val="0"/>
    <c:plotArea>
      <c:layout>
        <c:manualLayout>
          <c:layoutTarget val="inner"/>
          <c:xMode val="edge"/>
          <c:yMode val="edge"/>
          <c:x val="7.6730608840700584E-2"/>
          <c:y val="0.16756756756756758"/>
          <c:w val="0.76647206005004154"/>
          <c:h val="0.7432432432432432"/>
        </c:manualLayout>
      </c:layout>
      <c:lineChart>
        <c:grouping val="standard"/>
        <c:varyColors val="0"/>
        <c:ser>
          <c:idx val="0"/>
          <c:order val="0"/>
          <c:tx>
            <c:v>gliding</c:v>
          </c:tx>
          <c:spPr>
            <a:ln w="12700">
              <a:solidFill>
                <a:srgbClr val="0000FF"/>
              </a:solidFill>
              <a:prstDash val="solid"/>
            </a:ln>
          </c:spPr>
          <c:marker>
            <c:symbol val="circle"/>
            <c:size val="5"/>
            <c:spPr>
              <a:noFill/>
              <a:ln>
                <a:solidFill>
                  <a:srgbClr val="0000FF"/>
                </a:solidFill>
                <a:prstDash val="solid"/>
              </a:ln>
            </c:spPr>
          </c:marker>
          <c:val>
            <c:numRef>
              <c:f>Spreadsheet!$E$30:$O$30</c:f>
              <c:numCache>
                <c:formatCode>0.00</c:formatCode>
                <c:ptCount val="11"/>
                <c:pt idx="0">
                  <c:v>0.22288414408431653</c:v>
                </c:pt>
                <c:pt idx="1">
                  <c:v>0.22288414408431653</c:v>
                </c:pt>
                <c:pt idx="2">
                  <c:v>0.22288414408431653</c:v>
                </c:pt>
                <c:pt idx="3">
                  <c:v>0.22288414408431653</c:v>
                </c:pt>
                <c:pt idx="4">
                  <c:v>0.22288414408431653</c:v>
                </c:pt>
                <c:pt idx="5">
                  <c:v>0.22288414408431653</c:v>
                </c:pt>
                <c:pt idx="6">
                  <c:v>0.22288414408431653</c:v>
                </c:pt>
                <c:pt idx="7">
                  <c:v>0.22288414408431653</c:v>
                </c:pt>
                <c:pt idx="8">
                  <c:v>0.22288414408431653</c:v>
                </c:pt>
                <c:pt idx="9">
                  <c:v>0.22288414408431653</c:v>
                </c:pt>
                <c:pt idx="10">
                  <c:v>0.22288414408431653</c:v>
                </c:pt>
              </c:numCache>
            </c:numRef>
          </c:val>
          <c:smooth val="0"/>
        </c:ser>
        <c:ser>
          <c:idx val="1"/>
          <c:order val="1"/>
          <c:tx>
            <c:v>upstroke</c:v>
          </c:tx>
          <c:spPr>
            <a:ln w="12700">
              <a:solidFill>
                <a:srgbClr val="00FF00"/>
              </a:solidFill>
              <a:prstDash val="sysDash"/>
            </a:ln>
          </c:spPr>
          <c:marker>
            <c:symbol val="square"/>
            <c:size val="5"/>
            <c:spPr>
              <a:noFill/>
              <a:ln>
                <a:solidFill>
                  <a:srgbClr val="00FF00"/>
                </a:solidFill>
                <a:prstDash val="solid"/>
              </a:ln>
            </c:spPr>
          </c:marker>
          <c:val>
            <c:numRef>
              <c:f>Spreadsheet!$E$46:$O$46</c:f>
              <c:numCache>
                <c:formatCode>0.00</c:formatCode>
                <c:ptCount val="11"/>
                <c:pt idx="0">
                  <c:v>0.57011824123118549</c:v>
                </c:pt>
                <c:pt idx="1">
                  <c:v>0.45071389998220845</c:v>
                </c:pt>
                <c:pt idx="2">
                  <c:v>0.33130836467787839</c:v>
                </c:pt>
                <c:pt idx="3">
                  <c:v>0.21190282937354837</c:v>
                </c:pt>
                <c:pt idx="4">
                  <c:v>9.2497294069218292E-2</c:v>
                </c:pt>
                <c:pt idx="5">
                  <c:v>-2.6908241235111725E-2</c:v>
                </c:pt>
                <c:pt idx="6">
                  <c:v>-0.14631377653944175</c:v>
                </c:pt>
                <c:pt idx="7">
                  <c:v>-0.26571931184377179</c:v>
                </c:pt>
                <c:pt idx="8">
                  <c:v>-0.38512484714810186</c:v>
                </c:pt>
                <c:pt idx="9">
                  <c:v>-0.50453038245243187</c:v>
                </c:pt>
                <c:pt idx="10">
                  <c:v>-0.62393591775676194</c:v>
                </c:pt>
              </c:numCache>
            </c:numRef>
          </c:val>
          <c:smooth val="0"/>
        </c:ser>
        <c:ser>
          <c:idx val="2"/>
          <c:order val="2"/>
          <c:tx>
            <c:v>downstroke</c:v>
          </c:tx>
          <c:spPr>
            <a:ln w="12700">
              <a:solidFill>
                <a:srgbClr val="FF6600"/>
              </a:solidFill>
              <a:prstDash val="lgDash"/>
            </a:ln>
          </c:spPr>
          <c:marker>
            <c:symbol val="triangle"/>
            <c:size val="5"/>
            <c:spPr>
              <a:noFill/>
              <a:ln>
                <a:solidFill>
                  <a:srgbClr val="FF6600"/>
                </a:solidFill>
                <a:prstDash val="solid"/>
              </a:ln>
            </c:spPr>
          </c:marker>
          <c:val>
            <c:numRef>
              <c:f>Spreadsheet!$E$60:$O$60</c:f>
              <c:numCache>
                <c:formatCode>0.00</c:formatCode>
                <c:ptCount val="11"/>
                <c:pt idx="0">
                  <c:v>-2.3158878232149072E-2</c:v>
                </c:pt>
                <c:pt idx="1">
                  <c:v>6.8914545717892295E-2</c:v>
                </c:pt>
                <c:pt idx="2">
                  <c:v>0.16098889041138059</c:v>
                </c:pt>
                <c:pt idx="3">
                  <c:v>0.25306323510486889</c:v>
                </c:pt>
                <c:pt idx="4">
                  <c:v>0.34513757979835724</c:v>
                </c:pt>
                <c:pt idx="5">
                  <c:v>0.43721192449184548</c:v>
                </c:pt>
                <c:pt idx="6">
                  <c:v>0.52928626918533372</c:v>
                </c:pt>
                <c:pt idx="7">
                  <c:v>0.62136061387882202</c:v>
                </c:pt>
                <c:pt idx="8">
                  <c:v>0.71343495857231043</c:v>
                </c:pt>
                <c:pt idx="9">
                  <c:v>0.80550930326579873</c:v>
                </c:pt>
                <c:pt idx="10">
                  <c:v>0.89758364795928702</c:v>
                </c:pt>
              </c:numCache>
            </c:numRef>
          </c:val>
          <c:smooth val="0"/>
        </c:ser>
        <c:dLbls>
          <c:showLegendKey val="0"/>
          <c:showVal val="0"/>
          <c:showCatName val="0"/>
          <c:showSerName val="0"/>
          <c:showPercent val="0"/>
          <c:showBubbleSize val="0"/>
        </c:dLbls>
        <c:marker val="1"/>
        <c:smooth val="0"/>
        <c:axId val="136592000"/>
        <c:axId val="136594560"/>
      </c:lineChart>
      <c:catAx>
        <c:axId val="136592000"/>
        <c:scaling>
          <c:orientation val="minMax"/>
        </c:scaling>
        <c:delete val="0"/>
        <c:axPos val="b"/>
        <c:majorGridlines>
          <c:spPr>
            <a:ln w="3175">
              <a:solidFill>
                <a:srgbClr val="00FFFF"/>
              </a:solidFill>
              <a:prstDash val="sysDash"/>
            </a:ln>
          </c:spPr>
        </c:majorGridlines>
        <c:title>
          <c:tx>
            <c:rich>
              <a:bodyPr/>
              <a:lstStyle/>
              <a:p>
                <a:pPr>
                  <a:defRPr sz="1200" b="1" i="0" u="none" strike="noStrike" baseline="0">
                    <a:solidFill>
                      <a:srgbClr val="000000"/>
                    </a:solidFill>
                    <a:latin typeface="Arial"/>
                    <a:ea typeface="Arial"/>
                    <a:cs typeface="Arial"/>
                  </a:defRPr>
                </a:pPr>
                <a:r>
                  <a:rPr lang="de-DE"/>
                  <a:t>Number of wing stations</a:t>
                </a:r>
              </a:p>
            </c:rich>
          </c:tx>
          <c:layout>
            <c:manualLayout>
              <c:xMode val="edge"/>
              <c:yMode val="edge"/>
              <c:x val="0.36113427856547126"/>
              <c:y val="0.95135135135135129"/>
            </c:manualLayout>
          </c:layout>
          <c:overlay val="0"/>
          <c:spPr>
            <a:noFill/>
            <a:ln w="25400">
              <a:noFill/>
            </a:ln>
          </c:spPr>
        </c:title>
        <c:numFmt formatCode="General" sourceLinked="1"/>
        <c:majorTickMark val="out"/>
        <c:minorTickMark val="none"/>
        <c:tickLblPos val="nextTo"/>
        <c:spPr>
          <a:ln w="25400">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de-DE"/>
          </a:p>
        </c:txPr>
        <c:crossAx val="136594560"/>
        <c:crossesAt val="-0.8"/>
        <c:auto val="1"/>
        <c:lblAlgn val="ctr"/>
        <c:lblOffset val="100"/>
        <c:tickLblSkip val="1"/>
        <c:tickMarkSkip val="1"/>
        <c:noMultiLvlLbl val="0"/>
      </c:catAx>
      <c:valAx>
        <c:axId val="136594560"/>
        <c:scaling>
          <c:orientation val="minMax"/>
        </c:scaling>
        <c:delete val="0"/>
        <c:axPos val="l"/>
        <c:majorGridlines>
          <c:spPr>
            <a:ln w="3175">
              <a:solidFill>
                <a:srgbClr val="00FFFF"/>
              </a:solidFill>
              <a:prstDash val="sysDash"/>
            </a:ln>
          </c:spPr>
        </c:majorGridlines>
        <c:title>
          <c:tx>
            <c:rich>
              <a:bodyPr/>
              <a:lstStyle/>
              <a:p>
                <a:pPr>
                  <a:defRPr sz="1200" b="1" i="0" u="none" strike="noStrike" baseline="0">
                    <a:solidFill>
                      <a:srgbClr val="000000"/>
                    </a:solidFill>
                    <a:latin typeface="Arial"/>
                    <a:ea typeface="Arial"/>
                    <a:cs typeface="Arial"/>
                  </a:defRPr>
                </a:pPr>
                <a:r>
                  <a:rPr lang="de-DE"/>
                  <a:t>down wind v_i</a:t>
                </a:r>
              </a:p>
            </c:rich>
          </c:tx>
          <c:layout>
            <c:manualLayout>
              <c:xMode val="edge"/>
              <c:yMode val="edge"/>
              <c:x val="3.336113427856547E-3"/>
              <c:y val="0.44459459459459461"/>
            </c:manualLayout>
          </c:layout>
          <c:overlay val="0"/>
          <c:spPr>
            <a:noFill/>
            <a:ln w="25400">
              <a:noFill/>
            </a:ln>
          </c:spPr>
        </c:title>
        <c:numFmt formatCode="0.00" sourceLinked="1"/>
        <c:majorTickMark val="out"/>
        <c:minorTickMark val="none"/>
        <c:tickLblPos val="nextTo"/>
        <c:spPr>
          <a:ln w="25400">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de-DE"/>
          </a:p>
        </c:txPr>
        <c:crossAx val="136592000"/>
        <c:crosses val="autoZero"/>
        <c:crossBetween val="midCat"/>
      </c:valAx>
      <c:spPr>
        <a:solidFill>
          <a:srgbClr val="FFFFFF"/>
        </a:solidFill>
        <a:ln w="12700">
          <a:solidFill>
            <a:srgbClr val="00FFFF"/>
          </a:solidFill>
          <a:prstDash val="sysDash"/>
        </a:ln>
      </c:spPr>
    </c:plotArea>
    <c:legend>
      <c:legendPos val="r"/>
      <c:layout>
        <c:manualLayout>
          <c:xMode val="edge"/>
          <c:yMode val="edge"/>
          <c:x val="0.86572143452877393"/>
          <c:y val="0.41621621621621624"/>
          <c:w val="0.12260216847372807"/>
          <c:h val="0.16621621621621624"/>
        </c:manualLayout>
      </c:layout>
      <c:overlay val="0"/>
      <c:spPr>
        <a:solidFill>
          <a:srgbClr val="FFFFFF"/>
        </a:solidFill>
        <a:ln w="25400">
          <a:noFill/>
        </a:ln>
      </c:spPr>
      <c:txPr>
        <a:bodyPr/>
        <a:lstStyle/>
        <a:p>
          <a:pPr>
            <a:defRPr sz="84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de-DE"/>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a:lstStyle/>
          <a:p>
            <a:pPr>
              <a:defRPr sz="2000" b="1" i="0" u="none" strike="noStrike" baseline="0">
                <a:solidFill>
                  <a:srgbClr val="000000"/>
                </a:solidFill>
                <a:latin typeface="Arial"/>
                <a:ea typeface="Arial"/>
                <a:cs typeface="Arial"/>
              </a:defRPr>
            </a:pPr>
            <a:r>
              <a:rPr lang="en-US"/>
              <a:t>Angle of incidence</a:t>
            </a:r>
          </a:p>
        </c:rich>
      </c:tx>
      <c:layout>
        <c:manualLayout>
          <c:xMode val="edge"/>
          <c:yMode val="edge"/>
          <c:x val="0.39199332777314427"/>
          <c:y val="3.6486486486486482E-2"/>
        </c:manualLayout>
      </c:layout>
      <c:overlay val="0"/>
      <c:spPr>
        <a:noFill/>
        <a:ln w="25400">
          <a:noFill/>
        </a:ln>
      </c:spPr>
    </c:title>
    <c:autoTitleDeleted val="0"/>
    <c:plotArea>
      <c:layout>
        <c:manualLayout>
          <c:layoutTarget val="inner"/>
          <c:xMode val="edge"/>
          <c:yMode val="edge"/>
          <c:x val="8.0900750625521267E-2"/>
          <c:y val="0.1554054054054054"/>
          <c:w val="0.76563803169307754"/>
          <c:h val="0.73648648648648651"/>
        </c:manualLayout>
      </c:layout>
      <c:lineChart>
        <c:grouping val="standard"/>
        <c:varyColors val="0"/>
        <c:ser>
          <c:idx val="0"/>
          <c:order val="0"/>
          <c:tx>
            <c:v>gliding</c:v>
          </c:tx>
          <c:spPr>
            <a:ln w="12700">
              <a:solidFill>
                <a:srgbClr val="0000FF"/>
              </a:solidFill>
              <a:prstDash val="solid"/>
            </a:ln>
          </c:spPr>
          <c:marker>
            <c:symbol val="circle"/>
            <c:size val="5"/>
            <c:spPr>
              <a:solidFill>
                <a:srgbClr val="FFFFFF"/>
              </a:solidFill>
              <a:ln>
                <a:solidFill>
                  <a:srgbClr val="0000FF"/>
                </a:solidFill>
                <a:prstDash val="solid"/>
              </a:ln>
            </c:spPr>
          </c:marker>
          <c:dLbls>
            <c:dLbl>
              <c:idx val="1"/>
              <c:layout>
                <c:manualLayout>
                  <c:x val="-5.8103975535168575E-3"/>
                  <c:y val="-1.8085230900191551E-2"/>
                </c:manualLayout>
              </c:layout>
              <c:dLblPos val="r"/>
              <c:showLegendKey val="0"/>
              <c:showVal val="1"/>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dLbls>
          <c:val>
            <c:numRef>
              <c:f>Spreadsheet!$E$32:$O$32</c:f>
              <c:numCache>
                <c:formatCode>0.0</c:formatCode>
                <c:ptCount val="11"/>
                <c:pt idx="0">
                  <c:v>4.4211966891549119</c:v>
                </c:pt>
                <c:pt idx="1">
                  <c:v>4.3804592851398914</c:v>
                </c:pt>
                <c:pt idx="2">
                  <c:v>4.2569967140869673</c:v>
                </c:pt>
                <c:pt idx="3">
                  <c:v>4.0468577728737003</c:v>
                </c:pt>
                <c:pt idx="4">
                  <c:v>3.7427101375217582</c:v>
                </c:pt>
                <c:pt idx="5">
                  <c:v>3.3323769834680457</c:v>
                </c:pt>
                <c:pt idx="6">
                  <c:v>2.7957845043906779</c:v>
                </c:pt>
                <c:pt idx="7">
                  <c:v>2.0980181575196228</c:v>
                </c:pt>
                <c:pt idx="8">
                  <c:v>1.1703723196223841</c:v>
                </c:pt>
                <c:pt idx="9">
                  <c:v>-0.16336050718016804</c:v>
                </c:pt>
                <c:pt idx="10">
                  <c:v>-3.7058642346824913</c:v>
                </c:pt>
              </c:numCache>
            </c:numRef>
          </c:val>
          <c:smooth val="0"/>
        </c:ser>
        <c:ser>
          <c:idx val="1"/>
          <c:order val="1"/>
          <c:tx>
            <c:v>upstroke</c:v>
          </c:tx>
          <c:spPr>
            <a:ln w="12700">
              <a:solidFill>
                <a:srgbClr val="00FF00"/>
              </a:solidFill>
              <a:prstDash val="sysDash"/>
            </a:ln>
          </c:spPr>
          <c:marker>
            <c:symbol val="square"/>
            <c:size val="5"/>
            <c:spPr>
              <a:solidFill>
                <a:srgbClr val="FFFFFF"/>
              </a:solidFill>
              <a:ln>
                <a:solidFill>
                  <a:srgbClr val="00FF00"/>
                </a:solidFill>
                <a:prstDash val="solid"/>
              </a:ln>
            </c:spPr>
          </c:marker>
          <c:dLbls>
            <c:spPr>
              <a:noFill/>
              <a:ln w="25400">
                <a:noFill/>
              </a:ln>
            </c:spPr>
            <c:txPr>
              <a:bodyPr/>
              <a:lstStyle/>
              <a:p>
                <a:pPr>
                  <a:defRPr sz="100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dLbls>
          <c:val>
            <c:numRef>
              <c:f>Spreadsheet!$E$49:$O$49</c:f>
              <c:numCache>
                <c:formatCode>0.0</c:formatCode>
                <c:ptCount val="11"/>
                <c:pt idx="0">
                  <c:v>4.4194609131809157</c:v>
                </c:pt>
                <c:pt idx="1">
                  <c:v>6.4859209649997993</c:v>
                </c:pt>
                <c:pt idx="2">
                  <c:v>8.0347678828150748</c:v>
                </c:pt>
                <c:pt idx="3">
                  <c:v>9.2812065325597892</c:v>
                </c:pt>
                <c:pt idx="4">
                  <c:v>10.353680151413181</c:v>
                </c:pt>
                <c:pt idx="5">
                  <c:v>11.356354232263538</c:v>
                </c:pt>
                <c:pt idx="6">
                  <c:v>12.386318846386892</c:v>
                </c:pt>
                <c:pt idx="7">
                  <c:v>13.546280137833531</c:v>
                </c:pt>
                <c:pt idx="8">
                  <c:v>14.96606540871338</c:v>
                </c:pt>
                <c:pt idx="9">
                  <c:v>16.872013644854292</c:v>
                </c:pt>
                <c:pt idx="10">
                  <c:v>20.761572985072892</c:v>
                </c:pt>
              </c:numCache>
            </c:numRef>
          </c:val>
          <c:smooth val="0"/>
        </c:ser>
        <c:ser>
          <c:idx val="2"/>
          <c:order val="2"/>
          <c:tx>
            <c:v>downstroke</c:v>
          </c:tx>
          <c:spPr>
            <a:ln w="12700">
              <a:solidFill>
                <a:srgbClr val="FF0000"/>
              </a:solidFill>
              <a:prstDash val="lgDash"/>
            </a:ln>
          </c:spPr>
          <c:marker>
            <c:symbol val="triangle"/>
            <c:size val="5"/>
            <c:spPr>
              <a:solidFill>
                <a:srgbClr val="FFFFFF"/>
              </a:solidFill>
              <a:ln>
                <a:solidFill>
                  <a:srgbClr val="FF0000"/>
                </a:solidFill>
                <a:prstDash val="solid"/>
              </a:ln>
            </c:spPr>
          </c:marker>
          <c:dLbls>
            <c:spPr>
              <a:noFill/>
              <a:ln w="25400">
                <a:noFill/>
              </a:ln>
            </c:spPr>
            <c:txPr>
              <a:bodyPr/>
              <a:lstStyle/>
              <a:p>
                <a:pPr>
                  <a:defRPr sz="100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dLbls>
          <c:val>
            <c:numRef>
              <c:f>Spreadsheet!$E$63:$O$63</c:f>
              <c:numCache>
                <c:formatCode>0.0</c:formatCode>
                <c:ptCount val="11"/>
                <c:pt idx="0">
                  <c:v>4.4213034993916311</c:v>
                </c:pt>
                <c:pt idx="1">
                  <c:v>2.0330690828913625</c:v>
                </c:pt>
                <c:pt idx="2">
                  <c:v>-0.1434336611024396</c:v>
                </c:pt>
                <c:pt idx="3">
                  <c:v>-2.2718086516625107</c:v>
                </c:pt>
                <c:pt idx="4">
                  <c:v>-4.4513900798892312</c:v>
                </c:pt>
                <c:pt idx="5">
                  <c:v>-6.7680344651469388</c:v>
                </c:pt>
                <c:pt idx="6">
                  <c:v>-9.3124100812455808</c:v>
                </c:pt>
                <c:pt idx="7">
                  <c:v>-12.200621955817889</c:v>
                </c:pt>
                <c:pt idx="8">
                  <c:v>-15.619694597899516</c:v>
                </c:pt>
                <c:pt idx="9">
                  <c:v>-19.993333411237284</c:v>
                </c:pt>
                <c:pt idx="10">
                  <c:v>-29.241800154907111</c:v>
                </c:pt>
              </c:numCache>
            </c:numRef>
          </c:val>
          <c:smooth val="0"/>
        </c:ser>
        <c:dLbls>
          <c:showLegendKey val="0"/>
          <c:showVal val="0"/>
          <c:showCatName val="0"/>
          <c:showSerName val="0"/>
          <c:showPercent val="0"/>
          <c:showBubbleSize val="0"/>
        </c:dLbls>
        <c:marker val="1"/>
        <c:smooth val="0"/>
        <c:axId val="136672384"/>
        <c:axId val="136674304"/>
      </c:lineChart>
      <c:catAx>
        <c:axId val="136672384"/>
        <c:scaling>
          <c:orientation val="minMax"/>
        </c:scaling>
        <c:delete val="0"/>
        <c:axPos val="b"/>
        <c:majorGridlines>
          <c:spPr>
            <a:ln w="3175">
              <a:solidFill>
                <a:srgbClr val="00FFFF"/>
              </a:solidFill>
              <a:prstDash val="sysDash"/>
            </a:ln>
          </c:spPr>
        </c:majorGridlines>
        <c:title>
          <c:tx>
            <c:rich>
              <a:bodyPr/>
              <a:lstStyle/>
              <a:p>
                <a:pPr>
                  <a:defRPr sz="1200" b="1" i="0" u="none" strike="noStrike" baseline="0">
                    <a:solidFill>
                      <a:srgbClr val="000000"/>
                    </a:solidFill>
                    <a:latin typeface="Arial"/>
                    <a:ea typeface="Arial"/>
                    <a:cs typeface="Arial"/>
                  </a:defRPr>
                </a:pPr>
                <a:r>
                  <a:rPr lang="de-DE"/>
                  <a:t>Number of wing stations</a:t>
                </a:r>
              </a:p>
            </c:rich>
          </c:tx>
          <c:layout>
            <c:manualLayout>
              <c:xMode val="edge"/>
              <c:yMode val="edge"/>
              <c:x val="0.33027522935779818"/>
              <c:y val="0.94189189189189182"/>
            </c:manualLayout>
          </c:layout>
          <c:overlay val="0"/>
          <c:spPr>
            <a:noFill/>
            <a:ln w="25400">
              <a:noFill/>
            </a:ln>
          </c:spPr>
        </c:title>
        <c:numFmt formatCode="General" sourceLinked="0"/>
        <c:majorTickMark val="out"/>
        <c:minorTickMark val="none"/>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136674304"/>
        <c:crossesAt val="-40"/>
        <c:auto val="1"/>
        <c:lblAlgn val="ctr"/>
        <c:lblOffset val="100"/>
        <c:tickLblSkip val="1"/>
        <c:tickMarkSkip val="1"/>
        <c:noMultiLvlLbl val="0"/>
      </c:catAx>
      <c:valAx>
        <c:axId val="136674304"/>
        <c:scaling>
          <c:orientation val="minMax"/>
        </c:scaling>
        <c:delete val="0"/>
        <c:axPos val="l"/>
        <c:majorGridlines>
          <c:spPr>
            <a:ln w="3175">
              <a:solidFill>
                <a:srgbClr val="00FFFF"/>
              </a:solidFill>
              <a:prstDash val="sysDash"/>
            </a:ln>
          </c:spPr>
        </c:majorGridlines>
        <c:title>
          <c:tx>
            <c:rich>
              <a:bodyPr/>
              <a:lstStyle/>
              <a:p>
                <a:pPr>
                  <a:defRPr sz="1200" b="1" i="0" u="none" strike="noStrike" baseline="0">
                    <a:solidFill>
                      <a:srgbClr val="000000"/>
                    </a:solidFill>
                    <a:latin typeface="Arial"/>
                    <a:ea typeface="Arial"/>
                    <a:cs typeface="Arial"/>
                  </a:defRPr>
                </a:pPr>
                <a:r>
                  <a:rPr lang="de-DE"/>
                  <a:t>angel of incidence</a:t>
                </a:r>
              </a:p>
            </c:rich>
          </c:tx>
          <c:layout>
            <c:manualLayout>
              <c:xMode val="edge"/>
              <c:yMode val="edge"/>
              <c:x val="5.8381984987489581E-3"/>
              <c:y val="0.40270270270270275"/>
            </c:manualLayout>
          </c:layout>
          <c:overlay val="0"/>
          <c:spPr>
            <a:noFill/>
            <a:ln w="25400">
              <a:noFill/>
            </a:ln>
          </c:spPr>
        </c:title>
        <c:numFmt formatCode="0.0" sourceLinked="1"/>
        <c:majorTickMark val="out"/>
        <c:minorTickMark val="none"/>
        <c:tickLblPos val="nextTo"/>
        <c:spPr>
          <a:ln w="254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136672384"/>
        <c:crosses val="autoZero"/>
        <c:crossBetween val="midCat"/>
      </c:valAx>
      <c:spPr>
        <a:solidFill>
          <a:srgbClr val="FFFFFF"/>
        </a:solidFill>
        <a:ln w="25400">
          <a:noFill/>
        </a:ln>
      </c:spPr>
    </c:plotArea>
    <c:legend>
      <c:legendPos val="r"/>
      <c:layout>
        <c:manualLayout>
          <c:xMode val="edge"/>
          <c:yMode val="edge"/>
          <c:x val="0.86071726438698926"/>
          <c:y val="0.42972972972972978"/>
          <c:w val="0.13761467889908252"/>
          <c:h val="0.15675675675675671"/>
        </c:manualLayout>
      </c:layout>
      <c:overlay val="0"/>
      <c:spPr>
        <a:solidFill>
          <a:srgbClr val="FFFFFF"/>
        </a:solidFill>
        <a:ln w="25400">
          <a:noFill/>
        </a:ln>
      </c:spPr>
      <c:txPr>
        <a:bodyPr/>
        <a:lstStyle/>
        <a:p>
          <a:pPr>
            <a:defRPr sz="84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de-DE"/>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zoomScale="75" workbookViewId="0"/>
  </sheetViews>
  <sheetProtection content="1" objects="1"/>
  <pageMargins left="0.78740157499999996" right="0.78740157499999996" top="0.984251969" bottom="0.96" header="0.4921259845" footer="0.4921259845"/>
  <pageSetup paperSize="9" firstPageNumber="136" orientation="landscape" useFirstPageNumber="1" horizontalDpi="300" verticalDpi="300" r:id="rId1"/>
  <headerFooter alignWithMargins="0">
    <oddHeader>&amp;R&amp;"Arial,Fett"&amp;16Orni 1</oddHeader>
    <oddFooter>&amp;CB-&amp;P</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75" workbookViewId="0"/>
  </sheetViews>
  <sheetProtection content="1" objects="1"/>
  <pageMargins left="0.78740157499999996" right="0.78740157499999996" top="0.984251969" bottom="0.984251969" header="0.4921259845" footer="0.4921259845"/>
  <pageSetup paperSize="9" firstPageNumber="137" orientation="landscape" useFirstPageNumber="1" horizontalDpi="4294967293" verticalDpi="300" r:id="rId1"/>
  <headerFooter alignWithMargins="0">
    <oddHeader>&amp;R&amp;"Arial,Fett"&amp;16Orni 1</oddHeader>
    <oddFooter>&amp;CB-&amp;P</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75" workbookViewId="0"/>
  </sheetViews>
  <sheetProtection content="1" objects="1"/>
  <pageMargins left="0.78740157499999996" right="0.78740157499999996" top="0.984251969" bottom="0.984251969" header="0.4921259845" footer="0.4921259845"/>
  <pageSetup paperSize="9" firstPageNumber="138" orientation="landscape" useFirstPageNumber="1" horizontalDpi="4294967293" verticalDpi="300" r:id="rId1"/>
  <headerFooter alignWithMargins="0">
    <oddHeader>&amp;R&amp;"Arial,Fett"&amp;16Orni 1</oddHeader>
    <oddFooter>&amp;CB-&amp;P</oddFooter>
  </headerFooter>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16</xdr:col>
      <xdr:colOff>76200</xdr:colOff>
      <xdr:row>10</xdr:row>
      <xdr:rowOff>182880</xdr:rowOff>
    </xdr:from>
    <xdr:to>
      <xdr:col>20</xdr:col>
      <xdr:colOff>426720</xdr:colOff>
      <xdr:row>20</xdr:row>
      <xdr:rowOff>182880</xdr:rowOff>
    </xdr:to>
    <xdr:graphicFrame macro="">
      <xdr:nvGraphicFramePr>
        <xdr:cNvPr id="1025"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68580</xdr:colOff>
      <xdr:row>1</xdr:row>
      <xdr:rowOff>7620</xdr:rowOff>
    </xdr:from>
    <xdr:to>
      <xdr:col>20</xdr:col>
      <xdr:colOff>403860</xdr:colOff>
      <xdr:row>10</xdr:row>
      <xdr:rowOff>144780</xdr:rowOff>
    </xdr:to>
    <xdr:graphicFrame macro="">
      <xdr:nvGraphicFramePr>
        <xdr:cNvPr id="1026"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68580</xdr:colOff>
      <xdr:row>21</xdr:row>
      <xdr:rowOff>0</xdr:rowOff>
    </xdr:from>
    <xdr:to>
      <xdr:col>20</xdr:col>
      <xdr:colOff>403860</xdr:colOff>
      <xdr:row>31</xdr:row>
      <xdr:rowOff>198120</xdr:rowOff>
    </xdr:to>
    <xdr:graphicFrame macro="">
      <xdr:nvGraphicFramePr>
        <xdr:cNvPr id="1027"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95</xdr:row>
      <xdr:rowOff>0</xdr:rowOff>
    </xdr:from>
    <xdr:to>
      <xdr:col>22</xdr:col>
      <xdr:colOff>106680</xdr:colOff>
      <xdr:row>119</xdr:row>
      <xdr:rowOff>129540</xdr:rowOff>
    </xdr:to>
    <xdr:pic>
      <xdr:nvPicPr>
        <xdr:cNvPr id="1028" name="Picture 29" descr="schem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890760" y="20505420"/>
          <a:ext cx="4625340" cy="5059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0.04741</cdr:x>
      <cdr:y>0.10679</cdr:y>
    </cdr:from>
    <cdr:to>
      <cdr:x>0.14006</cdr:x>
      <cdr:y>0.17185</cdr:y>
    </cdr:to>
    <cdr:sp macro="" textlink="">
      <cdr:nvSpPr>
        <cdr:cNvPr id="11265" name="Text Box 1"/>
        <cdr:cNvSpPr txBox="1">
          <a:spLocks xmlns:a="http://schemas.openxmlformats.org/drawingml/2006/main" noChangeArrowheads="1"/>
        </cdr:cNvSpPr>
      </cdr:nvSpPr>
      <cdr:spPr bwMode="auto">
        <a:xfrm xmlns:a="http://schemas.openxmlformats.org/drawingml/2006/main">
          <a:off x="153521" y="209841"/>
          <a:ext cx="304979" cy="129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m/s</a:t>
          </a:r>
        </a:p>
      </cdr:txBody>
    </cdr:sp>
  </cdr:relSizeAnchor>
</c:userShapes>
</file>

<file path=xl/drawings/drawing3.xml><?xml version="1.0" encoding="utf-8"?>
<c:userShapes xmlns:c="http://schemas.openxmlformats.org/drawingml/2006/chart">
  <cdr:relSizeAnchor xmlns:cdr="http://schemas.openxmlformats.org/drawingml/2006/chartDrawing">
    <cdr:from>
      <cdr:x>0.02426</cdr:x>
      <cdr:y>0.13111</cdr:y>
    </cdr:from>
    <cdr:to>
      <cdr:x>0.11738</cdr:x>
      <cdr:y>0.20621</cdr:y>
    </cdr:to>
    <cdr:sp macro="" textlink="">
      <cdr:nvSpPr>
        <cdr:cNvPr id="16385" name="Text Box 1"/>
        <cdr:cNvSpPr txBox="1">
          <a:spLocks xmlns:a="http://schemas.openxmlformats.org/drawingml/2006/main" noChangeArrowheads="1"/>
        </cdr:cNvSpPr>
      </cdr:nvSpPr>
      <cdr:spPr bwMode="auto">
        <a:xfrm xmlns:a="http://schemas.openxmlformats.org/drawingml/2006/main">
          <a:off x="76952" y="250219"/>
          <a:ext cx="305105" cy="14478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c_l</a:t>
          </a:r>
        </a:p>
      </cdr:txBody>
    </cdr:sp>
  </cdr:relSizeAnchor>
</c:userShapes>
</file>

<file path=xl/drawings/drawing4.xml><?xml version="1.0" encoding="utf-8"?>
<c:userShapes xmlns:c="http://schemas.openxmlformats.org/drawingml/2006/chart">
  <cdr:relSizeAnchor xmlns:cdr="http://schemas.openxmlformats.org/drawingml/2006/chartDrawing">
    <cdr:from>
      <cdr:x>0.01628</cdr:x>
      <cdr:y>0.05673</cdr:y>
    </cdr:from>
    <cdr:to>
      <cdr:x>0.14422</cdr:x>
      <cdr:y>0.12998</cdr:y>
    </cdr:to>
    <cdr:sp macro="" textlink="">
      <cdr:nvSpPr>
        <cdr:cNvPr id="12289" name="Text Box 1"/>
        <cdr:cNvSpPr txBox="1">
          <a:spLocks xmlns:a="http://schemas.openxmlformats.org/drawingml/2006/main" noChangeArrowheads="1"/>
        </cdr:cNvSpPr>
      </cdr:nvSpPr>
      <cdr:spPr bwMode="auto">
        <a:xfrm xmlns:a="http://schemas.openxmlformats.org/drawingml/2006/main">
          <a:off x="50800" y="121529"/>
          <a:ext cx="419222" cy="16018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degreee</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36380" cy="5661660"/>
    <xdr:graphicFrame macro="">
      <xdr:nvGraphicFramePr>
        <xdr:cNvPr id="2" name="Diagram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136380" cy="5638800"/>
    <xdr:graphicFrame macro="">
      <xdr:nvGraphicFramePr>
        <xdr:cNvPr id="2" name="Diagram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0.0395</cdr:x>
      <cdr:y>0.096</cdr:y>
    </cdr:from>
    <cdr:to>
      <cdr:x>0.0775</cdr:x>
      <cdr:y>0.1245</cdr:y>
    </cdr:to>
    <cdr:sp macro="" textlink="">
      <cdr:nvSpPr>
        <cdr:cNvPr id="13313" name="Text Box 1"/>
        <cdr:cNvSpPr txBox="1">
          <a:spLocks xmlns:a="http://schemas.openxmlformats.org/drawingml/2006/main" noChangeArrowheads="1"/>
        </cdr:cNvSpPr>
      </cdr:nvSpPr>
      <cdr:spPr bwMode="auto">
        <a:xfrm xmlns:a="http://schemas.openxmlformats.org/drawingml/2006/main">
          <a:off x="356319" y="541325"/>
          <a:ext cx="342614" cy="1607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en-GB" sz="1000" b="0" i="0" u="none" strike="noStrike" baseline="0">
              <a:solidFill>
                <a:srgbClr val="000000"/>
              </a:solidFill>
              <a:latin typeface="Arial"/>
              <a:cs typeface="Arial"/>
            </a:rPr>
            <a:t>[m/s]</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136380" cy="5638800"/>
    <xdr:graphicFrame macro="">
      <xdr:nvGraphicFramePr>
        <xdr:cNvPr id="2" name="Diagram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0.0865</cdr:x>
      <cdr:y>0.47225</cdr:y>
    </cdr:from>
    <cdr:to>
      <cdr:x>0.8005</cdr:x>
      <cdr:y>0.47225</cdr:y>
    </cdr:to>
    <cdr:sp macro="" textlink="">
      <cdr:nvSpPr>
        <cdr:cNvPr id="2050" name="Line 2"/>
        <cdr:cNvSpPr>
          <a:spLocks xmlns:a="http://schemas.openxmlformats.org/drawingml/2006/main" noChangeShapeType="1"/>
        </cdr:cNvSpPr>
      </cdr:nvSpPr>
      <cdr:spPr bwMode="auto">
        <a:xfrm xmlns:a="http://schemas.openxmlformats.org/drawingml/2006/main" flipV="1">
          <a:off x="781160" y="2662923"/>
          <a:ext cx="6527944" cy="0"/>
        </a:xfrm>
        <a:prstGeom xmlns:a="http://schemas.openxmlformats.org/drawingml/2006/main" prst="line">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noFill/>
            </a14:hiddenFill>
          </a:ext>
          <a:ext uri="{91240B29-F687-4F45-9708-019B960494DF}">
            <a14:hiddenLine xmlns:a14="http://schemas.microsoft.com/office/drawing/2010/main" w="6350">
              <a:solidFill>
                <a:srgbClr xmlns:mc="http://schemas.openxmlformats.org/markup-compatibility/2006" val="000000" mc:Ignorable="a14" a14:legacySpreadsheetColorIndex="64"/>
              </a:solidFill>
              <a:round/>
              <a:headEnd/>
              <a:tailEnd/>
            </a14:hiddenLine>
          </a:ext>
        </a:extLst>
      </cdr:spPr>
      <cdr:txBody>
        <a:bodyPr xmlns:a="http://schemas.openxmlformats.org/drawingml/2006/main"/>
        <a:lstStyle xmlns:a="http://schemas.openxmlformats.org/drawingml/2006/main"/>
        <a:p xmlns:a="http://schemas.openxmlformats.org/drawingml/2006/main">
          <a:endParaRPr lang="de-DE"/>
        </a:p>
      </cdr:txBody>
    </cdr:sp>
  </cdr:relSizeAnchor>
  <cdr:relSizeAnchor xmlns:cdr="http://schemas.openxmlformats.org/drawingml/2006/chartDrawing">
    <cdr:from>
      <cdr:x>0.01775</cdr:x>
      <cdr:y>0.0725</cdr:y>
    </cdr:from>
    <cdr:to>
      <cdr:x>0.05225</cdr:x>
      <cdr:y>0.104</cdr:y>
    </cdr:to>
    <cdr:sp macro="" textlink="">
      <cdr:nvSpPr>
        <cdr:cNvPr id="2051" name="Rectangle 3"/>
        <cdr:cNvSpPr>
          <a:spLocks xmlns:a="http://schemas.openxmlformats.org/drawingml/2006/main" noChangeArrowheads="1"/>
        </cdr:cNvSpPr>
      </cdr:nvSpPr>
      <cdr:spPr bwMode="auto">
        <a:xfrm xmlns:a="http://schemas.openxmlformats.org/drawingml/2006/main" flipV="1">
          <a:off x="162171" y="408813"/>
          <a:ext cx="315205" cy="177622"/>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FFFFFF" mc:Ignorable="a14" a14:legacySpreadsheetColorIndex="9"/>
          </a:solidFill>
          <a:miter lim="800000"/>
          <a:headEnd/>
          <a:tailEnd/>
        </a:ln>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000" b="0" i="0" u="none" strike="noStrike" baseline="0">
              <a:solidFill>
                <a:srgbClr val="000000"/>
              </a:solidFill>
              <a:latin typeface="Arial"/>
              <a:cs typeface="Arial"/>
            </a:rPr>
            <a:t>[deg]</a:t>
          </a:r>
        </a:p>
      </cdr:txBody>
    </cdr:sp>
  </cdr:relSizeAnchor>
</c:userShape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abSelected="1" showRuler="0" view="pageLayout" zoomScaleNormal="100" workbookViewId="0"/>
  </sheetViews>
  <sheetFormatPr baseColWidth="10" defaultRowHeight="13.2" x14ac:dyDescent="0.25"/>
  <cols>
    <col min="1" max="1" width="88.44140625" customWidth="1"/>
  </cols>
  <sheetData>
    <row r="1" spans="1:1" ht="22.8" x14ac:dyDescent="0.25">
      <c r="A1" s="222" t="s">
        <v>107</v>
      </c>
    </row>
    <row r="2" spans="1:1" ht="20.399999999999999" customHeight="1" x14ac:dyDescent="0.25">
      <c r="A2" s="223" t="s">
        <v>132</v>
      </c>
    </row>
    <row r="3" spans="1:1" ht="22.5" customHeight="1" x14ac:dyDescent="0.25">
      <c r="A3" s="224" t="s">
        <v>108</v>
      </c>
    </row>
    <row r="4" spans="1:1" ht="42" customHeight="1" x14ac:dyDescent="0.25">
      <c r="A4" s="233" t="s">
        <v>226</v>
      </c>
    </row>
    <row r="5" spans="1:1" s="112" customFormat="1" ht="52.8" x14ac:dyDescent="0.25">
      <c r="A5" s="111" t="s">
        <v>254</v>
      </c>
    </row>
    <row r="6" spans="1:1" s="112" customFormat="1" ht="52.8" x14ac:dyDescent="0.25">
      <c r="A6" s="233" t="s">
        <v>231</v>
      </c>
    </row>
    <row r="7" spans="1:1" s="112" customFormat="1" ht="44.1" customHeight="1" x14ac:dyDescent="0.25">
      <c r="A7" s="233" t="s">
        <v>230</v>
      </c>
    </row>
    <row r="8" spans="1:1" s="112" customFormat="1" ht="42.9" customHeight="1" x14ac:dyDescent="0.25">
      <c r="A8" s="233" t="s">
        <v>232</v>
      </c>
    </row>
    <row r="9" spans="1:1" s="112" customFormat="1" ht="19.8" x14ac:dyDescent="0.25">
      <c r="A9" s="224" t="s">
        <v>109</v>
      </c>
    </row>
    <row r="10" spans="1:1" s="112" customFormat="1" ht="32.1" customHeight="1" x14ac:dyDescent="0.25">
      <c r="A10" s="111" t="s">
        <v>255</v>
      </c>
    </row>
    <row r="11" spans="1:1" s="112" customFormat="1" ht="57" customHeight="1" x14ac:dyDescent="0.25">
      <c r="A11" s="111" t="s">
        <v>257</v>
      </c>
    </row>
    <row r="12" spans="1:1" s="112" customFormat="1" ht="26.4" x14ac:dyDescent="0.25">
      <c r="A12" s="111" t="s">
        <v>286</v>
      </c>
    </row>
    <row r="13" spans="1:1" s="112" customFormat="1" ht="81" customHeight="1" x14ac:dyDescent="0.25">
      <c r="A13" s="111" t="s">
        <v>256</v>
      </c>
    </row>
    <row r="14" spans="1:1" s="112" customFormat="1" ht="44.1" customHeight="1" x14ac:dyDescent="0.25">
      <c r="A14" s="233" t="s">
        <v>233</v>
      </c>
    </row>
    <row r="15" spans="1:1" s="112" customFormat="1" ht="57" customHeight="1" x14ac:dyDescent="0.25">
      <c r="A15" s="111" t="s">
        <v>258</v>
      </c>
    </row>
    <row r="16" spans="1:1" s="112" customFormat="1" ht="57" customHeight="1" x14ac:dyDescent="0.25">
      <c r="A16" s="233" t="s">
        <v>234</v>
      </c>
    </row>
    <row r="17" spans="1:1" s="112" customFormat="1" ht="18.899999999999999" customHeight="1" x14ac:dyDescent="0.25">
      <c r="A17" s="111" t="s">
        <v>259</v>
      </c>
    </row>
    <row r="18" spans="1:1" s="112" customFormat="1" ht="30.9" customHeight="1" x14ac:dyDescent="0.25">
      <c r="A18" s="111" t="s">
        <v>260</v>
      </c>
    </row>
    <row r="19" spans="1:1" s="112" customFormat="1" ht="30.9" customHeight="1" x14ac:dyDescent="0.25">
      <c r="A19" s="111" t="s">
        <v>236</v>
      </c>
    </row>
    <row r="20" spans="1:1" s="112" customFormat="1" ht="21.75" customHeight="1" x14ac:dyDescent="0.25">
      <c r="A20" s="224" t="s">
        <v>110</v>
      </c>
    </row>
    <row r="21" spans="1:1" s="112" customFormat="1" ht="30" customHeight="1" x14ac:dyDescent="0.25">
      <c r="A21" s="233" t="s">
        <v>227</v>
      </c>
    </row>
    <row r="22" spans="1:1" s="112" customFormat="1" ht="30" customHeight="1" x14ac:dyDescent="0.25">
      <c r="A22" s="232" t="s">
        <v>229</v>
      </c>
    </row>
    <row r="23" spans="1:1" s="112" customFormat="1" ht="17.100000000000001" customHeight="1" x14ac:dyDescent="0.25">
      <c r="A23" s="111" t="s">
        <v>262</v>
      </c>
    </row>
    <row r="24" spans="1:1" s="112" customFormat="1" ht="44.1" customHeight="1" x14ac:dyDescent="0.25">
      <c r="A24" s="111" t="s">
        <v>261</v>
      </c>
    </row>
    <row r="25" spans="1:1" s="112" customFormat="1" ht="56.1" customHeight="1" x14ac:dyDescent="0.25">
      <c r="A25" s="233" t="s">
        <v>235</v>
      </c>
    </row>
    <row r="26" spans="1:1" s="112" customFormat="1" ht="68.099999999999994" customHeight="1" x14ac:dyDescent="0.25">
      <c r="A26" s="111" t="s">
        <v>263</v>
      </c>
    </row>
    <row r="27" spans="1:1" ht="25.5" customHeight="1" x14ac:dyDescent="0.25">
      <c r="A27" s="111" t="s">
        <v>111</v>
      </c>
    </row>
    <row r="29" spans="1:1" ht="13.5" customHeight="1" x14ac:dyDescent="0.25"/>
  </sheetData>
  <sheetProtection sheet="1" objects="1" scenarios="1" formatCells="0" formatColumns="0" formatRows="0" insertColumns="0" insertRows="0" insertHyperlinks="0" deleteColumns="0" deleteRows="0" sort="0" autoFilter="0" pivotTables="0"/>
  <phoneticPr fontId="10" type="noConversion"/>
  <pageMargins left="0.98425196850393704" right="0.6692913385826772" top="0.9055118110236221" bottom="0.86614173228346458" header="0.55118110236220474" footer="0.51181102362204722"/>
  <pageSetup paperSize="9" scale="95" orientation="portrait" horizontalDpi="4294967294" verticalDpi="0" r:id="rId1"/>
  <headerFooter alignWithMargins="0">
    <oddHeader>&amp;L&amp;9Release 5.0&amp;R&amp;"Arial,Fett"&amp;16Orni 1</oddHeader>
    <oddFooter>&amp;L&amp;9© Horst Raebiger
    Nuremberg, Germany 2006&amp;C- &amp;P -</oddFooter>
  </headerFooter>
  <rowBreaks count="1" manualBreakCount="1">
    <brk id="1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6"/>
  <sheetViews>
    <sheetView showRuler="0" view="pageLayout" zoomScaleNormal="100" workbookViewId="0">
      <selection activeCell="E1" sqref="E1"/>
    </sheetView>
  </sheetViews>
  <sheetFormatPr baseColWidth="10" defaultRowHeight="13.2" x14ac:dyDescent="0.25"/>
  <cols>
    <col min="1" max="1" width="9.5546875" style="1" customWidth="1"/>
    <col min="2" max="2" width="34.6640625" customWidth="1"/>
    <col min="3" max="3" width="10.6640625" style="1" customWidth="1"/>
    <col min="4" max="4" width="8.6640625" style="1" customWidth="1"/>
    <col min="5" max="15" width="7.33203125" style="3" customWidth="1"/>
    <col min="16" max="16" width="8.6640625" style="3" customWidth="1"/>
    <col min="17" max="17" width="8.109375" customWidth="1"/>
  </cols>
  <sheetData>
    <row r="1" spans="1:16" ht="20.100000000000001" customHeight="1" x14ac:dyDescent="0.25">
      <c r="A1" s="54" t="s">
        <v>41</v>
      </c>
      <c r="B1" s="54" t="s">
        <v>28</v>
      </c>
      <c r="C1" s="54" t="s">
        <v>8</v>
      </c>
      <c r="D1" s="80" t="s">
        <v>42</v>
      </c>
      <c r="E1" s="125" t="s">
        <v>137</v>
      </c>
      <c r="F1" s="148"/>
      <c r="G1" s="148"/>
      <c r="H1" s="148"/>
      <c r="I1" s="148"/>
      <c r="J1" s="151"/>
      <c r="K1" s="148"/>
      <c r="L1" s="148"/>
      <c r="M1" s="148"/>
      <c r="N1" s="148"/>
      <c r="O1" s="152"/>
      <c r="P1" s="251" t="s">
        <v>287</v>
      </c>
    </row>
    <row r="2" spans="1:16" s="2" customFormat="1" ht="15.6" customHeight="1" x14ac:dyDescent="0.25">
      <c r="A2" s="143" t="s">
        <v>45</v>
      </c>
      <c r="B2" s="7" t="s">
        <v>44</v>
      </c>
      <c r="C2" s="136" t="s">
        <v>9</v>
      </c>
      <c r="D2" s="218" t="s">
        <v>211</v>
      </c>
      <c r="E2" s="118">
        <v>9.81</v>
      </c>
      <c r="F2" s="10"/>
      <c r="G2" s="10"/>
      <c r="H2" s="10"/>
      <c r="I2" s="10"/>
      <c r="J2" s="85"/>
      <c r="K2" s="10"/>
      <c r="L2" s="10"/>
      <c r="M2" s="10"/>
      <c r="N2" s="10"/>
      <c r="O2" s="20"/>
      <c r="P2" s="252"/>
    </row>
    <row r="3" spans="1:16" s="2" customFormat="1" ht="15.6" customHeight="1" x14ac:dyDescent="0.25">
      <c r="A3" s="11"/>
      <c r="B3" s="12" t="s">
        <v>46</v>
      </c>
      <c r="C3" s="137" t="s">
        <v>176</v>
      </c>
      <c r="D3" s="219" t="s">
        <v>212</v>
      </c>
      <c r="E3" s="126">
        <v>1.2250000000000001</v>
      </c>
      <c r="F3" s="9"/>
      <c r="G3" s="29"/>
      <c r="H3" s="29"/>
      <c r="I3" s="29"/>
      <c r="J3" s="142"/>
      <c r="K3" s="29"/>
      <c r="L3" s="29"/>
      <c r="M3" s="29"/>
      <c r="N3" s="29"/>
      <c r="O3" s="20"/>
      <c r="P3" s="252"/>
    </row>
    <row r="4" spans="1:16" s="2" customFormat="1" ht="15.6" customHeight="1" x14ac:dyDescent="0.25">
      <c r="A4" s="15" t="s">
        <v>189</v>
      </c>
      <c r="B4" s="7" t="s">
        <v>48</v>
      </c>
      <c r="C4" s="136" t="s">
        <v>0</v>
      </c>
      <c r="D4" s="9" t="s">
        <v>1</v>
      </c>
      <c r="E4" s="16">
        <v>4</v>
      </c>
      <c r="F4" s="17"/>
      <c r="G4" s="17"/>
      <c r="H4" s="17"/>
      <c r="I4" s="17"/>
      <c r="J4" s="86"/>
      <c r="K4" s="17"/>
      <c r="L4" s="17"/>
      <c r="M4" s="17"/>
      <c r="N4" s="17"/>
      <c r="O4" s="18"/>
      <c r="P4" s="252"/>
    </row>
    <row r="5" spans="1:16" s="2" customFormat="1" ht="15.6" customHeight="1" x14ac:dyDescent="0.25">
      <c r="A5" s="15"/>
      <c r="B5" s="7" t="s">
        <v>49</v>
      </c>
      <c r="C5" s="136" t="s">
        <v>2</v>
      </c>
      <c r="D5" s="9" t="s">
        <v>3</v>
      </c>
      <c r="E5" s="16">
        <v>2.8</v>
      </c>
      <c r="F5" s="17"/>
      <c r="G5" s="17"/>
      <c r="H5" s="17"/>
      <c r="I5" s="17"/>
      <c r="J5" s="86"/>
      <c r="K5" s="17"/>
      <c r="L5" s="17"/>
      <c r="M5" s="17"/>
      <c r="N5" s="17"/>
      <c r="O5" s="18"/>
      <c r="P5" s="252"/>
    </row>
    <row r="6" spans="1:16" s="2" customFormat="1" ht="15.6" customHeight="1" x14ac:dyDescent="0.25">
      <c r="A6" s="15"/>
      <c r="B6" s="7" t="s">
        <v>50</v>
      </c>
      <c r="C6" s="136" t="s">
        <v>4</v>
      </c>
      <c r="D6" s="9" t="s">
        <v>3</v>
      </c>
      <c r="E6" s="19">
        <v>0.28000000000000003</v>
      </c>
      <c r="F6" s="10"/>
      <c r="G6" s="10"/>
      <c r="H6" s="10"/>
      <c r="I6" s="10"/>
      <c r="J6" s="85"/>
      <c r="K6" s="10"/>
      <c r="L6" s="10"/>
      <c r="M6" s="10"/>
      <c r="N6" s="10"/>
      <c r="O6" s="20"/>
      <c r="P6" s="252"/>
    </row>
    <row r="7" spans="1:16" s="2" customFormat="1" ht="15.6" customHeight="1" x14ac:dyDescent="0.25">
      <c r="A7" s="15"/>
      <c r="B7" s="7" t="s">
        <v>94</v>
      </c>
      <c r="C7" s="136" t="s">
        <v>7</v>
      </c>
      <c r="D7" s="9"/>
      <c r="E7" s="16">
        <v>0.6</v>
      </c>
      <c r="F7" s="17"/>
      <c r="G7" s="17"/>
      <c r="H7" s="17"/>
      <c r="I7" s="17"/>
      <c r="J7" s="86"/>
      <c r="K7" s="17"/>
      <c r="L7" s="17"/>
      <c r="M7" s="17"/>
      <c r="N7" s="17"/>
      <c r="O7" s="18"/>
      <c r="P7" s="252"/>
    </row>
    <row r="8" spans="1:16" s="2" customFormat="1" ht="15.6" customHeight="1" x14ac:dyDescent="0.25">
      <c r="A8" s="11"/>
      <c r="B8" s="12" t="s">
        <v>225</v>
      </c>
      <c r="C8" s="139" t="s">
        <v>157</v>
      </c>
      <c r="D8" s="14"/>
      <c r="E8" s="21">
        <v>8</v>
      </c>
      <c r="F8" s="177"/>
      <c r="G8" s="132"/>
      <c r="H8" s="132"/>
      <c r="I8" s="132"/>
      <c r="J8" s="133"/>
      <c r="K8" s="132"/>
      <c r="L8" s="132"/>
      <c r="M8" s="132"/>
      <c r="N8" s="132"/>
      <c r="O8" s="18"/>
      <c r="P8" s="252"/>
    </row>
    <row r="9" spans="1:16" s="2" customFormat="1" ht="15.6" customHeight="1" x14ac:dyDescent="0.25">
      <c r="A9" s="15" t="s">
        <v>51</v>
      </c>
      <c r="B9" s="24" t="s">
        <v>52</v>
      </c>
      <c r="C9" s="136"/>
      <c r="D9" s="9"/>
      <c r="E9" s="19"/>
      <c r="F9" s="10"/>
      <c r="G9" s="10"/>
      <c r="H9" s="10"/>
      <c r="I9" s="10"/>
      <c r="J9" s="85"/>
      <c r="K9" s="10"/>
      <c r="L9" s="10"/>
      <c r="M9" s="10"/>
      <c r="N9" s="10"/>
      <c r="O9" s="20"/>
      <c r="P9" s="252"/>
    </row>
    <row r="10" spans="1:16" s="2" customFormat="1" ht="15.6" customHeight="1" x14ac:dyDescent="0.25">
      <c r="A10" s="15"/>
      <c r="B10" s="240" t="s">
        <v>285</v>
      </c>
      <c r="C10" s="136" t="s">
        <v>183</v>
      </c>
      <c r="D10" s="9" t="s">
        <v>86</v>
      </c>
      <c r="E10" s="19">
        <v>9.4E-2</v>
      </c>
      <c r="F10" s="10"/>
      <c r="G10" s="10"/>
      <c r="H10" s="10"/>
      <c r="I10" s="10"/>
      <c r="J10" s="85"/>
      <c r="K10" s="10"/>
      <c r="L10" s="10"/>
      <c r="M10" s="10"/>
      <c r="N10" s="10"/>
      <c r="O10" s="20"/>
      <c r="P10" s="252"/>
    </row>
    <row r="11" spans="1:16" s="2" customFormat="1" ht="15.6" customHeight="1" x14ac:dyDescent="0.25">
      <c r="A11" s="15"/>
      <c r="B11" s="7" t="s">
        <v>53</v>
      </c>
      <c r="C11" s="136" t="s">
        <v>164</v>
      </c>
      <c r="D11" s="9" t="s">
        <v>87</v>
      </c>
      <c r="E11" s="19">
        <v>-2.8</v>
      </c>
      <c r="F11" s="10"/>
      <c r="G11" s="10"/>
      <c r="H11" s="10"/>
      <c r="I11" s="10"/>
      <c r="J11" s="85"/>
      <c r="K11" s="10"/>
      <c r="L11" s="10"/>
      <c r="M11" s="10"/>
      <c r="N11" s="10"/>
      <c r="O11" s="20"/>
      <c r="P11" s="252"/>
    </row>
    <row r="12" spans="1:16" s="2" customFormat="1" ht="15.6" customHeight="1" x14ac:dyDescent="0.25">
      <c r="A12" s="11"/>
      <c r="B12" s="12" t="s">
        <v>54</v>
      </c>
      <c r="C12" s="137" t="s">
        <v>171</v>
      </c>
      <c r="D12" s="55" t="s">
        <v>87</v>
      </c>
      <c r="E12" s="25">
        <v>2</v>
      </c>
      <c r="F12" s="178"/>
      <c r="G12" s="30"/>
      <c r="H12" s="30"/>
      <c r="I12" s="30"/>
      <c r="J12" s="100"/>
      <c r="K12" s="30"/>
      <c r="L12" s="30"/>
      <c r="M12" s="30"/>
      <c r="N12" s="30"/>
      <c r="O12" s="64"/>
      <c r="P12" s="252"/>
    </row>
    <row r="13" spans="1:16" s="2" customFormat="1" ht="15.6" customHeight="1" x14ac:dyDescent="0.25">
      <c r="A13" s="15" t="s">
        <v>188</v>
      </c>
      <c r="B13" s="231" t="s">
        <v>223</v>
      </c>
      <c r="C13" s="136" t="s">
        <v>156</v>
      </c>
      <c r="D13" s="56"/>
      <c r="E13" s="26">
        <v>0</v>
      </c>
      <c r="F13" s="27"/>
      <c r="G13" s="27"/>
      <c r="H13" s="27"/>
      <c r="I13" s="27"/>
      <c r="J13" s="88"/>
      <c r="K13" s="208"/>
      <c r="L13" s="27"/>
      <c r="M13" s="27"/>
      <c r="N13" s="27"/>
      <c r="O13" s="28"/>
      <c r="P13" s="252"/>
    </row>
    <row r="14" spans="1:16" s="2" customFormat="1" ht="15.6" customHeight="1" x14ac:dyDescent="0.25">
      <c r="A14" s="15"/>
      <c r="B14" s="7" t="s">
        <v>224</v>
      </c>
      <c r="C14" s="136" t="s">
        <v>158</v>
      </c>
      <c r="D14" s="9"/>
      <c r="E14" s="26">
        <v>9.0630000000000006</v>
      </c>
      <c r="F14" s="27"/>
      <c r="G14" s="27"/>
      <c r="H14" s="27"/>
      <c r="I14" s="27"/>
      <c r="J14" s="88"/>
      <c r="K14" s="27"/>
      <c r="L14" s="27"/>
      <c r="M14" s="27"/>
      <c r="N14" s="27"/>
      <c r="O14" s="28"/>
      <c r="P14" s="252"/>
    </row>
    <row r="15" spans="1:16" s="2" customFormat="1" ht="15.6" customHeight="1" x14ac:dyDescent="0.25">
      <c r="A15" s="15"/>
      <c r="B15" s="7" t="s">
        <v>96</v>
      </c>
      <c r="C15" s="136" t="s">
        <v>10</v>
      </c>
      <c r="D15" s="9"/>
      <c r="E15" s="26">
        <v>1.0549999999999999</v>
      </c>
      <c r="F15" s="17"/>
      <c r="G15" s="17"/>
      <c r="H15" s="17"/>
      <c r="I15" s="17"/>
      <c r="J15" s="86"/>
      <c r="K15" s="17"/>
      <c r="L15" s="17"/>
      <c r="M15" s="17"/>
      <c r="N15" s="17"/>
      <c r="O15" s="18"/>
      <c r="P15" s="252"/>
    </row>
    <row r="16" spans="1:16" s="2" customFormat="1" ht="15.6" customHeight="1" x14ac:dyDescent="0.25">
      <c r="A16" s="15"/>
      <c r="B16" s="7" t="s">
        <v>56</v>
      </c>
      <c r="C16" s="136" t="s">
        <v>27</v>
      </c>
      <c r="D16" s="9" t="s">
        <v>11</v>
      </c>
      <c r="E16" s="16">
        <v>0.7</v>
      </c>
      <c r="F16" s="17"/>
      <c r="G16" s="17"/>
      <c r="H16" s="17"/>
      <c r="I16" s="17"/>
      <c r="J16" s="86"/>
      <c r="K16" s="17"/>
      <c r="L16" s="17"/>
      <c r="M16" s="17"/>
      <c r="N16" s="17"/>
      <c r="O16" s="18"/>
      <c r="P16" s="252"/>
    </row>
    <row r="17" spans="1:16" s="2" customFormat="1" ht="15.6" customHeight="1" x14ac:dyDescent="0.25">
      <c r="A17" s="15"/>
      <c r="B17" s="7" t="s">
        <v>95</v>
      </c>
      <c r="C17" s="135" t="s">
        <v>172</v>
      </c>
      <c r="D17" s="9" t="s">
        <v>87</v>
      </c>
      <c r="E17" s="19">
        <v>30</v>
      </c>
      <c r="F17" s="29"/>
      <c r="G17" s="29"/>
      <c r="H17" s="29"/>
      <c r="I17" s="29"/>
      <c r="J17" s="142"/>
      <c r="K17" s="29"/>
      <c r="L17" s="29"/>
      <c r="M17" s="29"/>
      <c r="N17" s="29"/>
      <c r="O17" s="20"/>
      <c r="P17" s="252"/>
    </row>
    <row r="18" spans="1:16" s="2" customFormat="1" ht="15.6" customHeight="1" x14ac:dyDescent="0.25">
      <c r="A18" s="143" t="s">
        <v>57</v>
      </c>
      <c r="B18" s="146" t="s">
        <v>197</v>
      </c>
      <c r="C18" s="147" t="s">
        <v>3</v>
      </c>
      <c r="D18" s="144"/>
      <c r="E18" s="209">
        <f>E5/2/E16/E35</f>
        <v>0.16244252806801318</v>
      </c>
      <c r="F18" s="207" t="str">
        <f>IF(E18&lt;0.2,"", "&lt;&lt;&lt;  too big")</f>
        <v/>
      </c>
      <c r="G18" s="171"/>
      <c r="H18" s="171"/>
      <c r="I18" s="171"/>
      <c r="J18" s="172" t="s">
        <v>130</v>
      </c>
      <c r="K18" s="171"/>
      <c r="L18" s="171"/>
      <c r="M18" s="171"/>
      <c r="N18" s="171"/>
      <c r="O18" s="173"/>
      <c r="P18" s="252"/>
    </row>
    <row r="19" spans="1:16" s="2" customFormat="1" ht="15.6" customHeight="1" x14ac:dyDescent="0.25">
      <c r="A19" s="15"/>
      <c r="B19" s="7" t="s">
        <v>82</v>
      </c>
      <c r="C19" s="136" t="s">
        <v>22</v>
      </c>
      <c r="D19" s="8"/>
      <c r="E19" s="81">
        <f>0+0.00001</f>
        <v>1.0000000000000001E-5</v>
      </c>
      <c r="F19" s="10">
        <v>1</v>
      </c>
      <c r="G19" s="10">
        <v>2</v>
      </c>
      <c r="H19" s="10">
        <v>3</v>
      </c>
      <c r="I19" s="10">
        <v>4</v>
      </c>
      <c r="J19" s="85">
        <v>5</v>
      </c>
      <c r="K19" s="10">
        <v>6</v>
      </c>
      <c r="L19" s="10">
        <v>7</v>
      </c>
      <c r="M19" s="10">
        <v>8</v>
      </c>
      <c r="N19" s="10">
        <v>9</v>
      </c>
      <c r="O19" s="20">
        <v>10</v>
      </c>
      <c r="P19" s="252"/>
    </row>
    <row r="20" spans="1:16" s="2" customFormat="1" ht="15.6" customHeight="1" x14ac:dyDescent="0.25">
      <c r="A20" s="15"/>
      <c r="B20" s="7" t="s">
        <v>83</v>
      </c>
      <c r="C20" s="136" t="s">
        <v>21</v>
      </c>
      <c r="D20" s="8"/>
      <c r="E20" s="82">
        <v>10</v>
      </c>
      <c r="F20" s="53">
        <v>10</v>
      </c>
      <c r="G20" s="53">
        <v>10</v>
      </c>
      <c r="H20" s="53">
        <v>10</v>
      </c>
      <c r="I20" s="53">
        <v>10</v>
      </c>
      <c r="J20" s="89">
        <v>10</v>
      </c>
      <c r="K20" s="53">
        <v>10</v>
      </c>
      <c r="L20" s="53">
        <v>10</v>
      </c>
      <c r="M20" s="53">
        <v>10</v>
      </c>
      <c r="N20" s="53">
        <v>10</v>
      </c>
      <c r="O20" s="83">
        <v>10</v>
      </c>
      <c r="P20" s="252"/>
    </row>
    <row r="21" spans="1:16" s="2" customFormat="1" ht="15.6" customHeight="1" x14ac:dyDescent="0.25">
      <c r="A21" s="57"/>
      <c r="B21" s="58" t="s">
        <v>85</v>
      </c>
      <c r="C21" s="140" t="s">
        <v>149</v>
      </c>
      <c r="D21" s="59"/>
      <c r="E21" s="60">
        <v>9.9999999999999995E-7</v>
      </c>
      <c r="F21" s="61">
        <f>F19/F20</f>
        <v>0.1</v>
      </c>
      <c r="G21" s="61">
        <f t="shared" ref="G21:O21" si="0">G19/G20</f>
        <v>0.2</v>
      </c>
      <c r="H21" s="61">
        <f t="shared" si="0"/>
        <v>0.3</v>
      </c>
      <c r="I21" s="61">
        <f t="shared" si="0"/>
        <v>0.4</v>
      </c>
      <c r="J21" s="90">
        <f t="shared" si="0"/>
        <v>0.5</v>
      </c>
      <c r="K21" s="61">
        <f t="shared" si="0"/>
        <v>0.6</v>
      </c>
      <c r="L21" s="61">
        <f t="shared" si="0"/>
        <v>0.7</v>
      </c>
      <c r="M21" s="61">
        <f t="shared" si="0"/>
        <v>0.8</v>
      </c>
      <c r="N21" s="61">
        <f t="shared" si="0"/>
        <v>0.9</v>
      </c>
      <c r="O21" s="62">
        <f t="shared" si="0"/>
        <v>1</v>
      </c>
      <c r="P21" s="252"/>
    </row>
    <row r="22" spans="1:16" s="2" customFormat="1" ht="15.6" customHeight="1" x14ac:dyDescent="0.25">
      <c r="A22" s="6" t="s">
        <v>47</v>
      </c>
      <c r="B22" s="7" t="s">
        <v>131</v>
      </c>
      <c r="C22" s="136" t="s">
        <v>5</v>
      </c>
      <c r="D22" s="8" t="s">
        <v>6</v>
      </c>
      <c r="E22" s="63">
        <f>SQRT(2*$E$4*$E$2/$E$3/$E$7/$E$6/$E$5)</f>
        <v>11.670186494282282</v>
      </c>
      <c r="F22" s="63">
        <f t="shared" ref="F22:O22" si="1">SQRT(2*$E$4*$E$2/$E$3/$E$7/$E$6/$E$5)</f>
        <v>11.670186494282282</v>
      </c>
      <c r="G22" s="63">
        <f t="shared" si="1"/>
        <v>11.670186494282282</v>
      </c>
      <c r="H22" s="63">
        <f t="shared" si="1"/>
        <v>11.670186494282282</v>
      </c>
      <c r="I22" s="63">
        <f t="shared" si="1"/>
        <v>11.670186494282282</v>
      </c>
      <c r="J22" s="91">
        <f t="shared" si="1"/>
        <v>11.670186494282282</v>
      </c>
      <c r="K22" s="63">
        <f t="shared" si="1"/>
        <v>11.670186494282282</v>
      </c>
      <c r="L22" s="63">
        <f t="shared" si="1"/>
        <v>11.670186494282282</v>
      </c>
      <c r="M22" s="63">
        <f t="shared" si="1"/>
        <v>11.670186494282282</v>
      </c>
      <c r="N22" s="63">
        <f t="shared" si="1"/>
        <v>11.670186494282282</v>
      </c>
      <c r="O22" s="64">
        <f t="shared" si="1"/>
        <v>11.670186494282282</v>
      </c>
      <c r="P22" s="252" t="s">
        <v>264</v>
      </c>
    </row>
    <row r="23" spans="1:16" s="2" customFormat="1" ht="15.6" customHeight="1" x14ac:dyDescent="0.25">
      <c r="A23" s="15" t="s">
        <v>58</v>
      </c>
      <c r="B23" s="7" t="s">
        <v>59</v>
      </c>
      <c r="C23" s="136" t="s">
        <v>23</v>
      </c>
      <c r="D23" s="8"/>
      <c r="E23" s="96">
        <f>ROUNDUP(E22*$E$6*70,0)*1000</f>
        <v>229000</v>
      </c>
      <c r="F23" s="96">
        <f t="shared" ref="F23:O23" si="2">ROUNDUP(F22*$E$6*70,0)*1000</f>
        <v>229000</v>
      </c>
      <c r="G23" s="96">
        <f t="shared" si="2"/>
        <v>229000</v>
      </c>
      <c r="H23" s="96">
        <f t="shared" si="2"/>
        <v>229000</v>
      </c>
      <c r="I23" s="96">
        <f t="shared" si="2"/>
        <v>229000</v>
      </c>
      <c r="J23" s="149">
        <f t="shared" si="2"/>
        <v>229000</v>
      </c>
      <c r="K23" s="96">
        <f t="shared" si="2"/>
        <v>229000</v>
      </c>
      <c r="L23" s="96">
        <f t="shared" si="2"/>
        <v>229000</v>
      </c>
      <c r="M23" s="96">
        <f t="shared" si="2"/>
        <v>229000</v>
      </c>
      <c r="N23" s="96">
        <f t="shared" si="2"/>
        <v>229000</v>
      </c>
      <c r="O23" s="175">
        <f t="shared" si="2"/>
        <v>229000</v>
      </c>
      <c r="P23" s="252"/>
    </row>
    <row r="24" spans="1:16" s="2" customFormat="1" ht="15.6" customHeight="1" x14ac:dyDescent="0.25">
      <c r="A24" s="8"/>
      <c r="B24" s="7" t="s">
        <v>60</v>
      </c>
      <c r="C24" s="136" t="s">
        <v>159</v>
      </c>
      <c r="D24" s="116" t="s">
        <v>213</v>
      </c>
      <c r="E24" s="17">
        <f>$E$4*$E$2/$E$3/$E$22/$E$5</f>
        <v>0.98029566551971181</v>
      </c>
      <c r="F24" s="17">
        <f t="shared" ref="F24:O24" si="3">$E$4*$E$2/$E$3/$E$22/$E$5</f>
        <v>0.98029566551971181</v>
      </c>
      <c r="G24" s="17">
        <f t="shared" si="3"/>
        <v>0.98029566551971181</v>
      </c>
      <c r="H24" s="17">
        <f t="shared" si="3"/>
        <v>0.98029566551971181</v>
      </c>
      <c r="I24" s="17">
        <f t="shared" si="3"/>
        <v>0.98029566551971181</v>
      </c>
      <c r="J24" s="86">
        <f t="shared" si="3"/>
        <v>0.98029566551971181</v>
      </c>
      <c r="K24" s="17">
        <f t="shared" si="3"/>
        <v>0.98029566551971181</v>
      </c>
      <c r="L24" s="17">
        <f t="shared" si="3"/>
        <v>0.98029566551971181</v>
      </c>
      <c r="M24" s="17">
        <f t="shared" si="3"/>
        <v>0.98029566551971181</v>
      </c>
      <c r="N24" s="17">
        <f t="shared" si="3"/>
        <v>0.98029566551971181</v>
      </c>
      <c r="O24" s="18">
        <f t="shared" si="3"/>
        <v>0.98029566551971181</v>
      </c>
      <c r="P24" s="252" t="s">
        <v>265</v>
      </c>
    </row>
    <row r="25" spans="1:16" s="2" customFormat="1" ht="15.6" customHeight="1" x14ac:dyDescent="0.25">
      <c r="A25" s="13"/>
      <c r="B25" s="236" t="s">
        <v>237</v>
      </c>
      <c r="C25" s="139" t="s">
        <v>160</v>
      </c>
      <c r="D25" s="221"/>
      <c r="E25" s="65">
        <f>$E$8/6/PI()</f>
        <v>0.42441318157838753</v>
      </c>
      <c r="F25" s="65">
        <f t="shared" ref="F25:O25" si="4">$E$8/6/PI()</f>
        <v>0.42441318157838753</v>
      </c>
      <c r="G25" s="65">
        <f t="shared" si="4"/>
        <v>0.42441318157838753</v>
      </c>
      <c r="H25" s="65">
        <f t="shared" si="4"/>
        <v>0.42441318157838753</v>
      </c>
      <c r="I25" s="65">
        <f t="shared" si="4"/>
        <v>0.42441318157838753</v>
      </c>
      <c r="J25" s="92">
        <f t="shared" si="4"/>
        <v>0.42441318157838753</v>
      </c>
      <c r="K25" s="65">
        <f t="shared" si="4"/>
        <v>0.42441318157838753</v>
      </c>
      <c r="L25" s="65">
        <f t="shared" si="4"/>
        <v>0.42441318157838753</v>
      </c>
      <c r="M25" s="65">
        <f t="shared" si="4"/>
        <v>0.42441318157838753</v>
      </c>
      <c r="N25" s="65">
        <f t="shared" si="4"/>
        <v>0.42441318157838753</v>
      </c>
      <c r="O25" s="176">
        <f t="shared" si="4"/>
        <v>0.42441318157838753</v>
      </c>
      <c r="P25" s="252" t="s">
        <v>266</v>
      </c>
    </row>
    <row r="26" spans="1:16" s="2" customFormat="1" ht="15.6" customHeight="1" x14ac:dyDescent="0.25">
      <c r="A26" s="15" t="s">
        <v>84</v>
      </c>
      <c r="B26" s="7" t="s">
        <v>61</v>
      </c>
      <c r="C26" s="136" t="s">
        <v>161</v>
      </c>
      <c r="D26" s="116" t="s">
        <v>213</v>
      </c>
      <c r="E26" s="17">
        <f t="shared" ref="E26:O26" si="5">E24*((12/PI()-6*E25)*SQRT(1-E21^2)+(18*E25-24/PI())*E21^2*ACOSH(1/E21))</f>
        <v>1.2481512068715475</v>
      </c>
      <c r="F26" s="17">
        <f t="shared" si="5"/>
        <v>1.2418947704472767</v>
      </c>
      <c r="G26" s="17">
        <f t="shared" si="5"/>
        <v>1.2229334314703313</v>
      </c>
      <c r="H26" s="17">
        <f t="shared" si="5"/>
        <v>1.190660365531236</v>
      </c>
      <c r="I26" s="17">
        <f t="shared" si="5"/>
        <v>1.1439494768484419</v>
      </c>
      <c r="J26" s="86">
        <f t="shared" si="5"/>
        <v>1.0809306529155065</v>
      </c>
      <c r="K26" s="17">
        <f t="shared" si="5"/>
        <v>0.99852096549773672</v>
      </c>
      <c r="L26" s="17">
        <f t="shared" si="5"/>
        <v>0.89135825118769896</v>
      </c>
      <c r="M26" s="17">
        <f t="shared" si="5"/>
        <v>0.74889072412330226</v>
      </c>
      <c r="N26" s="17">
        <f t="shared" si="5"/>
        <v>0.54405649770141207</v>
      </c>
      <c r="O26" s="18">
        <f t="shared" si="5"/>
        <v>0</v>
      </c>
      <c r="P26" s="252" t="s">
        <v>267</v>
      </c>
    </row>
    <row r="27" spans="1:16" s="2" customFormat="1" ht="15.6" customHeight="1" x14ac:dyDescent="0.25">
      <c r="A27" s="8"/>
      <c r="B27" s="7" t="s">
        <v>62</v>
      </c>
      <c r="C27" s="136" t="s">
        <v>13</v>
      </c>
      <c r="D27" s="8"/>
      <c r="E27" s="17">
        <f>2*E26/$E$6/E22</f>
        <v>0.76394372684071588</v>
      </c>
      <c r="F27" s="17">
        <f t="shared" ref="F27:O27" si="6">2*F26/$E$6/F22</f>
        <v>0.76011441086330389</v>
      </c>
      <c r="G27" s="17">
        <f t="shared" si="6"/>
        <v>0.7485089291843291</v>
      </c>
      <c r="H27" s="17">
        <f t="shared" si="6"/>
        <v>0.72875586871028197</v>
      </c>
      <c r="I27" s="17">
        <f t="shared" si="6"/>
        <v>0.70016599098719945</v>
      </c>
      <c r="J27" s="86">
        <f t="shared" si="6"/>
        <v>0.6615946745061505</v>
      </c>
      <c r="K27" s="17">
        <f t="shared" si="6"/>
        <v>0.61115498147287795</v>
      </c>
      <c r="L27" s="17">
        <f t="shared" si="6"/>
        <v>0.54556494486699869</v>
      </c>
      <c r="M27" s="17">
        <f t="shared" si="6"/>
        <v>0.45836623610465826</v>
      </c>
      <c r="N27" s="17">
        <f t="shared" si="6"/>
        <v>0.33299535038521838</v>
      </c>
      <c r="O27" s="18">
        <f t="shared" si="6"/>
        <v>0</v>
      </c>
      <c r="P27" s="252" t="s">
        <v>268</v>
      </c>
    </row>
    <row r="28" spans="1:16" s="2" customFormat="1" ht="15.6" customHeight="1" x14ac:dyDescent="0.25">
      <c r="A28" s="8"/>
      <c r="B28" s="7" t="s">
        <v>63</v>
      </c>
      <c r="C28" s="136" t="s">
        <v>32</v>
      </c>
      <c r="D28" s="8" t="s">
        <v>33</v>
      </c>
      <c r="E28" s="63">
        <f>$E$3/2*E22^2*$E$6*E27</f>
        <v>17.843542762636723</v>
      </c>
      <c r="F28" s="63">
        <f t="shared" ref="F28:O28" si="7">$E$3/2*F22^2*$E$6*F27</f>
        <v>17.754100882307171</v>
      </c>
      <c r="G28" s="63">
        <f t="shared" si="7"/>
        <v>17.483029988805402</v>
      </c>
      <c r="H28" s="63">
        <f t="shared" si="7"/>
        <v>17.021654933447302</v>
      </c>
      <c r="I28" s="63">
        <f t="shared" si="7"/>
        <v>16.353877075201016</v>
      </c>
      <c r="J28" s="63">
        <f t="shared" si="7"/>
        <v>15.452961325965088</v>
      </c>
      <c r="K28" s="63">
        <f t="shared" si="7"/>
        <v>14.274834210116506</v>
      </c>
      <c r="L28" s="63">
        <f t="shared" si="7"/>
        <v>12.742838355107756</v>
      </c>
      <c r="M28" s="63">
        <f t="shared" si="7"/>
        <v>10.706125657587375</v>
      </c>
      <c r="N28" s="63">
        <f t="shared" si="7"/>
        <v>7.7778199697118868</v>
      </c>
      <c r="O28" s="64">
        <f t="shared" si="7"/>
        <v>0</v>
      </c>
      <c r="P28" s="252" t="s">
        <v>269</v>
      </c>
    </row>
    <row r="29" spans="1:16" s="2" customFormat="1" ht="15.6" customHeight="1" x14ac:dyDescent="0.25">
      <c r="A29" s="8"/>
      <c r="B29" s="7" t="s">
        <v>64</v>
      </c>
      <c r="C29" s="136" t="s">
        <v>165</v>
      </c>
      <c r="D29" s="8" t="s">
        <v>87</v>
      </c>
      <c r="E29" s="63">
        <f>$E$11+E27/$E$10</f>
        <v>5.3270609238374034</v>
      </c>
      <c r="F29" s="63">
        <f t="shared" ref="F29:O29" si="8">$E$11+F27/$E$10</f>
        <v>5.2863235198223828</v>
      </c>
      <c r="G29" s="63">
        <f t="shared" si="8"/>
        <v>5.1628609487694588</v>
      </c>
      <c r="H29" s="63">
        <f t="shared" si="8"/>
        <v>4.9527220075561917</v>
      </c>
      <c r="I29" s="63">
        <f t="shared" si="8"/>
        <v>4.6485743722042496</v>
      </c>
      <c r="J29" s="91">
        <f t="shared" si="8"/>
        <v>4.2382412181505371</v>
      </c>
      <c r="K29" s="63">
        <f t="shared" si="8"/>
        <v>3.7016487390731694</v>
      </c>
      <c r="L29" s="63">
        <f t="shared" si="8"/>
        <v>3.0038823922021143</v>
      </c>
      <c r="M29" s="63">
        <f t="shared" si="8"/>
        <v>2.0762365543048755</v>
      </c>
      <c r="N29" s="63">
        <f t="shared" si="8"/>
        <v>0.74250372750232341</v>
      </c>
      <c r="O29" s="64">
        <f t="shared" si="8"/>
        <v>-2.8</v>
      </c>
      <c r="P29" s="252" t="s">
        <v>270</v>
      </c>
    </row>
    <row r="30" spans="1:16" s="2" customFormat="1" ht="15.6" customHeight="1" x14ac:dyDescent="0.25">
      <c r="A30" s="8"/>
      <c r="B30" s="7" t="s">
        <v>65</v>
      </c>
      <c r="C30" s="136" t="s">
        <v>14</v>
      </c>
      <c r="D30" s="8" t="s">
        <v>6</v>
      </c>
      <c r="E30" s="17">
        <f>E24/$E$5*18*(1/PI()-2/3*E25+(PI()/2*E25-2/3)*E21)</f>
        <v>0.22288414408431653</v>
      </c>
      <c r="F30" s="17">
        <f t="shared" ref="F30:O30" si="9">F24/$E$5*18*(1/PI()-2/3*F25+(PI()/2*F25-2/3)*F21)</f>
        <v>0.22288414408431653</v>
      </c>
      <c r="G30" s="17">
        <f t="shared" si="9"/>
        <v>0.22288414408431653</v>
      </c>
      <c r="H30" s="17">
        <f t="shared" si="9"/>
        <v>0.22288414408431653</v>
      </c>
      <c r="I30" s="17">
        <f t="shared" si="9"/>
        <v>0.22288414408431653</v>
      </c>
      <c r="J30" s="86">
        <f t="shared" si="9"/>
        <v>0.22288414408431653</v>
      </c>
      <c r="K30" s="17">
        <f t="shared" si="9"/>
        <v>0.22288414408431653</v>
      </c>
      <c r="L30" s="17">
        <f t="shared" si="9"/>
        <v>0.22288414408431653</v>
      </c>
      <c r="M30" s="17">
        <f t="shared" si="9"/>
        <v>0.22288414408431653</v>
      </c>
      <c r="N30" s="17">
        <f t="shared" si="9"/>
        <v>0.22288414408431653</v>
      </c>
      <c r="O30" s="18">
        <f t="shared" si="9"/>
        <v>0.22288414408431653</v>
      </c>
      <c r="P30" s="252" t="s">
        <v>271</v>
      </c>
    </row>
    <row r="31" spans="1:16" s="2" customFormat="1" ht="15.6" customHeight="1" x14ac:dyDescent="0.25">
      <c r="A31" s="8"/>
      <c r="B31" s="7" t="s">
        <v>66</v>
      </c>
      <c r="C31" s="136" t="s">
        <v>166</v>
      </c>
      <c r="D31" s="8" t="s">
        <v>87</v>
      </c>
      <c r="E31" s="63">
        <f t="shared" ref="E31:O31" si="10">DEGREES(ATAN(E30/E22))</f>
        <v>1.0941357653175086</v>
      </c>
      <c r="F31" s="63">
        <f t="shared" si="10"/>
        <v>1.0941357653175086</v>
      </c>
      <c r="G31" s="63">
        <f t="shared" si="10"/>
        <v>1.0941357653175086</v>
      </c>
      <c r="H31" s="63">
        <f t="shared" si="10"/>
        <v>1.0941357653175086</v>
      </c>
      <c r="I31" s="63">
        <f t="shared" si="10"/>
        <v>1.0941357653175086</v>
      </c>
      <c r="J31" s="91">
        <f t="shared" si="10"/>
        <v>1.0941357653175086</v>
      </c>
      <c r="K31" s="63">
        <f t="shared" si="10"/>
        <v>1.0941357653175086</v>
      </c>
      <c r="L31" s="63">
        <f t="shared" si="10"/>
        <v>1.0941357653175086</v>
      </c>
      <c r="M31" s="63">
        <f t="shared" si="10"/>
        <v>1.0941357653175086</v>
      </c>
      <c r="N31" s="63">
        <f t="shared" si="10"/>
        <v>1.0941357653175086</v>
      </c>
      <c r="O31" s="64">
        <f t="shared" si="10"/>
        <v>1.0941357653175086</v>
      </c>
      <c r="P31" s="252" t="s">
        <v>272</v>
      </c>
    </row>
    <row r="32" spans="1:16" s="2" customFormat="1" ht="15.6" customHeight="1" x14ac:dyDescent="0.25">
      <c r="A32" s="59"/>
      <c r="B32" s="58" t="s">
        <v>64</v>
      </c>
      <c r="C32" s="140" t="s">
        <v>167</v>
      </c>
      <c r="D32" s="59" t="s">
        <v>87</v>
      </c>
      <c r="E32" s="61">
        <f>E29+E31-$E$12</f>
        <v>4.4211966891549119</v>
      </c>
      <c r="F32" s="61">
        <f t="shared" ref="F32:O32" si="11">F29+F31-$E$12</f>
        <v>4.3804592851398914</v>
      </c>
      <c r="G32" s="61">
        <f t="shared" si="11"/>
        <v>4.2569967140869673</v>
      </c>
      <c r="H32" s="61">
        <f t="shared" si="11"/>
        <v>4.0468577728737003</v>
      </c>
      <c r="I32" s="61">
        <f t="shared" si="11"/>
        <v>3.7427101375217582</v>
      </c>
      <c r="J32" s="90">
        <f t="shared" si="11"/>
        <v>3.3323769834680457</v>
      </c>
      <c r="K32" s="61">
        <f t="shared" si="11"/>
        <v>2.7957845043906779</v>
      </c>
      <c r="L32" s="61">
        <f t="shared" si="11"/>
        <v>2.0980181575196228</v>
      </c>
      <c r="M32" s="61">
        <f t="shared" si="11"/>
        <v>1.1703723196223841</v>
      </c>
      <c r="N32" s="61">
        <f t="shared" si="11"/>
        <v>-0.16336050718016804</v>
      </c>
      <c r="O32" s="62">
        <f t="shared" si="11"/>
        <v>-3.7058642346824913</v>
      </c>
      <c r="P32" s="253" t="s">
        <v>273</v>
      </c>
    </row>
    <row r="33" spans="1:16" s="2" customFormat="1" ht="27.9" customHeight="1" x14ac:dyDescent="0.25">
      <c r="A33" s="78"/>
      <c r="B33" s="79"/>
      <c r="C33" s="78"/>
      <c r="D33" s="78"/>
      <c r="E33" s="69"/>
      <c r="F33" s="69"/>
      <c r="G33" s="69"/>
      <c r="H33" s="69"/>
      <c r="I33" s="69"/>
      <c r="J33" s="93" t="s">
        <v>199</v>
      </c>
      <c r="K33" s="264" t="s">
        <v>200</v>
      </c>
      <c r="L33" s="265"/>
      <c r="M33" s="265"/>
      <c r="N33" s="265"/>
      <c r="O33" s="265"/>
      <c r="P33" s="254"/>
    </row>
    <row r="34" spans="1:16" s="2" customFormat="1" ht="19.95" customHeight="1" x14ac:dyDescent="0.25">
      <c r="A34" s="54" t="s">
        <v>41</v>
      </c>
      <c r="B34" s="54" t="s">
        <v>28</v>
      </c>
      <c r="C34" s="54" t="s">
        <v>8</v>
      </c>
      <c r="D34" s="54" t="s">
        <v>42</v>
      </c>
      <c r="E34" s="80"/>
      <c r="F34" s="5"/>
      <c r="G34" s="5"/>
      <c r="H34" s="5"/>
      <c r="I34" s="5"/>
      <c r="J34" s="5" t="s">
        <v>130</v>
      </c>
      <c r="K34" s="76"/>
      <c r="L34" s="76"/>
      <c r="M34" s="76"/>
      <c r="N34" s="76"/>
      <c r="O34" s="77"/>
      <c r="P34" s="251" t="s">
        <v>287</v>
      </c>
    </row>
    <row r="35" spans="1:16" s="2" customFormat="1" ht="15.45" customHeight="1" x14ac:dyDescent="0.25">
      <c r="A35" s="97" t="s">
        <v>55</v>
      </c>
      <c r="B35" s="66" t="s">
        <v>67</v>
      </c>
      <c r="C35" s="134" t="s">
        <v>12</v>
      </c>
      <c r="D35" s="68" t="s">
        <v>6</v>
      </c>
      <c r="E35" s="84">
        <f>E22*$E$15</f>
        <v>12.312046751467808</v>
      </c>
      <c r="F35" s="69">
        <f t="shared" ref="F35:O35" si="12">F22*$E$15</f>
        <v>12.312046751467808</v>
      </c>
      <c r="G35" s="69">
        <f t="shared" si="12"/>
        <v>12.312046751467808</v>
      </c>
      <c r="H35" s="69">
        <f t="shared" si="12"/>
        <v>12.312046751467808</v>
      </c>
      <c r="I35" s="69">
        <f t="shared" si="12"/>
        <v>12.312046751467808</v>
      </c>
      <c r="J35" s="93">
        <f t="shared" si="12"/>
        <v>12.312046751467808</v>
      </c>
      <c r="K35" s="69">
        <f t="shared" si="12"/>
        <v>12.312046751467808</v>
      </c>
      <c r="L35" s="69">
        <f t="shared" si="12"/>
        <v>12.312046751467808</v>
      </c>
      <c r="M35" s="69">
        <f t="shared" si="12"/>
        <v>12.312046751467808</v>
      </c>
      <c r="N35" s="69">
        <f t="shared" si="12"/>
        <v>12.312046751467808</v>
      </c>
      <c r="O35" s="179">
        <f t="shared" si="12"/>
        <v>12.312046751467808</v>
      </c>
      <c r="P35" s="252" t="s">
        <v>274</v>
      </c>
    </row>
    <row r="36" spans="1:16" s="2" customFormat="1" ht="15.45" customHeight="1" x14ac:dyDescent="0.25">
      <c r="A36" s="57" t="s">
        <v>58</v>
      </c>
      <c r="B36" s="70" t="s">
        <v>68</v>
      </c>
      <c r="C36" s="145" t="s">
        <v>173</v>
      </c>
      <c r="D36" s="59" t="s">
        <v>26</v>
      </c>
      <c r="E36" s="71">
        <f>PI()^2*$E$17/90/$E$16</f>
        <v>4.6998116195663604</v>
      </c>
      <c r="F36" s="71">
        <f t="shared" ref="F36:O36" si="13">PI()^2*$E$17/90/$E$16</f>
        <v>4.6998116195663604</v>
      </c>
      <c r="G36" s="71">
        <f t="shared" si="13"/>
        <v>4.6998116195663604</v>
      </c>
      <c r="H36" s="71">
        <f t="shared" si="13"/>
        <v>4.6998116195663604</v>
      </c>
      <c r="I36" s="71">
        <f t="shared" si="13"/>
        <v>4.6998116195663604</v>
      </c>
      <c r="J36" s="94">
        <f t="shared" si="13"/>
        <v>4.6998116195663604</v>
      </c>
      <c r="K36" s="71">
        <f t="shared" si="13"/>
        <v>4.6998116195663604</v>
      </c>
      <c r="L36" s="71">
        <f t="shared" si="13"/>
        <v>4.6998116195663604</v>
      </c>
      <c r="M36" s="71">
        <f t="shared" si="13"/>
        <v>4.6998116195663604</v>
      </c>
      <c r="N36" s="71">
        <f t="shared" si="13"/>
        <v>4.6998116195663604</v>
      </c>
      <c r="O36" s="180">
        <f t="shared" si="13"/>
        <v>4.6998116195663604</v>
      </c>
      <c r="P36" s="252" t="s">
        <v>275</v>
      </c>
    </row>
    <row r="37" spans="1:16" s="2" customFormat="1" ht="15.45" customHeight="1" x14ac:dyDescent="0.25">
      <c r="A37" s="6" t="s">
        <v>99</v>
      </c>
      <c r="B37" s="235" t="s">
        <v>237</v>
      </c>
      <c r="C37" s="136" t="s">
        <v>178</v>
      </c>
      <c r="D37" s="8"/>
      <c r="E37" s="27">
        <f>E13/6/PI()</f>
        <v>0</v>
      </c>
      <c r="F37" s="27">
        <f t="shared" ref="F37:O39" si="14">E37</f>
        <v>0</v>
      </c>
      <c r="G37" s="27">
        <f t="shared" si="14"/>
        <v>0</v>
      </c>
      <c r="H37" s="27">
        <f t="shared" si="14"/>
        <v>0</v>
      </c>
      <c r="I37" s="27">
        <f t="shared" si="14"/>
        <v>0</v>
      </c>
      <c r="J37" s="88">
        <f t="shared" si="14"/>
        <v>0</v>
      </c>
      <c r="K37" s="27">
        <f t="shared" si="14"/>
        <v>0</v>
      </c>
      <c r="L37" s="27">
        <f t="shared" si="14"/>
        <v>0</v>
      </c>
      <c r="M37" s="27">
        <f t="shared" si="14"/>
        <v>0</v>
      </c>
      <c r="N37" s="181">
        <f t="shared" si="14"/>
        <v>0</v>
      </c>
      <c r="O37" s="28">
        <f t="shared" si="14"/>
        <v>0</v>
      </c>
      <c r="P37" s="252" t="s">
        <v>266</v>
      </c>
    </row>
    <row r="38" spans="1:16" s="2" customFormat="1" ht="15.45" customHeight="1" x14ac:dyDescent="0.25">
      <c r="A38" s="15" t="s">
        <v>58</v>
      </c>
      <c r="B38" s="7" t="s">
        <v>69</v>
      </c>
      <c r="C38" s="136" t="s">
        <v>179</v>
      </c>
      <c r="D38" s="8"/>
      <c r="E38" s="27">
        <f>((2-PI()*E25)/E6/E10+270/E5*(1/PI()-2/3*E25))/((2-PI()*E37)/E6/E10+270/E5*(1/PI()-2/3*E37))*E15</f>
        <v>0.28421314661469455</v>
      </c>
      <c r="F38" s="27">
        <f t="shared" si="14"/>
        <v>0.28421314661469455</v>
      </c>
      <c r="G38" s="27">
        <f t="shared" si="14"/>
        <v>0.28421314661469455</v>
      </c>
      <c r="H38" s="27">
        <f t="shared" si="14"/>
        <v>0.28421314661469455</v>
      </c>
      <c r="I38" s="27">
        <f t="shared" si="14"/>
        <v>0.28421314661469455</v>
      </c>
      <c r="J38" s="88">
        <f t="shared" si="14"/>
        <v>0.28421314661469455</v>
      </c>
      <c r="K38" s="27">
        <f t="shared" si="14"/>
        <v>0.28421314661469455</v>
      </c>
      <c r="L38" s="27">
        <f t="shared" si="14"/>
        <v>0.28421314661469455</v>
      </c>
      <c r="M38" s="27">
        <f t="shared" si="14"/>
        <v>0.28421314661469455</v>
      </c>
      <c r="N38" s="181">
        <f t="shared" si="14"/>
        <v>0.28421314661469455</v>
      </c>
      <c r="O38" s="28">
        <f t="shared" si="14"/>
        <v>0.28421314661469455</v>
      </c>
      <c r="P38" s="252" t="s">
        <v>276</v>
      </c>
    </row>
    <row r="39" spans="1:16" s="2" customFormat="1" ht="15.45" customHeight="1" x14ac:dyDescent="0.25">
      <c r="A39" s="72"/>
      <c r="B39" s="12" t="s">
        <v>60</v>
      </c>
      <c r="C39" s="137" t="s">
        <v>154</v>
      </c>
      <c r="D39" s="221" t="s">
        <v>213</v>
      </c>
      <c r="E39" s="22">
        <f>E24*E38</f>
        <v>0.27861291571010344</v>
      </c>
      <c r="F39" s="22">
        <f t="shared" si="14"/>
        <v>0.27861291571010344</v>
      </c>
      <c r="G39" s="22">
        <f t="shared" si="14"/>
        <v>0.27861291571010344</v>
      </c>
      <c r="H39" s="22">
        <f t="shared" si="14"/>
        <v>0.27861291571010344</v>
      </c>
      <c r="I39" s="22">
        <f t="shared" si="14"/>
        <v>0.27861291571010344</v>
      </c>
      <c r="J39" s="87">
        <f t="shared" si="14"/>
        <v>0.27861291571010344</v>
      </c>
      <c r="K39" s="22">
        <f t="shared" si="14"/>
        <v>0.27861291571010344</v>
      </c>
      <c r="L39" s="22">
        <f t="shared" si="14"/>
        <v>0.27861291571010344</v>
      </c>
      <c r="M39" s="22">
        <f t="shared" si="14"/>
        <v>0.27861291571010344</v>
      </c>
      <c r="N39" s="22">
        <f t="shared" si="14"/>
        <v>0.27861291571010344</v>
      </c>
      <c r="O39" s="23">
        <f t="shared" si="14"/>
        <v>0.27861291571010344</v>
      </c>
      <c r="P39" s="252" t="s">
        <v>277</v>
      </c>
    </row>
    <row r="40" spans="1:16" s="2" customFormat="1" ht="15.45" customHeight="1" x14ac:dyDescent="0.25">
      <c r="A40" s="15" t="s">
        <v>84</v>
      </c>
      <c r="B40" s="7" t="s">
        <v>61</v>
      </c>
      <c r="C40" s="136" t="s">
        <v>155</v>
      </c>
      <c r="D40" s="116" t="s">
        <v>213</v>
      </c>
      <c r="E40" s="17">
        <f>E39*(12/PI()-6*E37)</f>
        <v>1.0642229458682051</v>
      </c>
      <c r="F40" s="17">
        <f t="shared" ref="F40:O40" si="15">F39*((12/PI()-6*F37)*SQRT(1-F21^2)+(18*F37-24/PI())*F21^2*ACOSH(1/F21))</f>
        <v>0.99517933272056991</v>
      </c>
      <c r="G40" s="17">
        <f t="shared" si="15"/>
        <v>0.84754860520890907</v>
      </c>
      <c r="H40" s="17">
        <f t="shared" si="15"/>
        <v>0.65625473737570517</v>
      </c>
      <c r="I40" s="17">
        <f t="shared" si="15"/>
        <v>0.44180085729244101</v>
      </c>
      <c r="J40" s="86">
        <f t="shared" si="15"/>
        <v>0.22087570008731491</v>
      </c>
      <c r="K40" s="17">
        <f t="shared" si="15"/>
        <v>9.5771042209257199E-3</v>
      </c>
      <c r="L40" s="17">
        <f t="shared" si="15"/>
        <v>-0.17403609746189025</v>
      </c>
      <c r="M40" s="17">
        <f t="shared" si="15"/>
        <v>-0.30567504453123151</v>
      </c>
      <c r="N40" s="132">
        <f t="shared" si="15"/>
        <v>-0.34149371717615951</v>
      </c>
      <c r="O40" s="18">
        <f t="shared" si="15"/>
        <v>0</v>
      </c>
      <c r="P40" s="252" t="s">
        <v>267</v>
      </c>
    </row>
    <row r="41" spans="1:16" s="2" customFormat="1" ht="15.45" customHeight="1" x14ac:dyDescent="0.25">
      <c r="A41" s="8"/>
      <c r="B41" s="73" t="s">
        <v>70</v>
      </c>
      <c r="C41" s="136" t="s">
        <v>24</v>
      </c>
      <c r="D41" s="8" t="s">
        <v>6</v>
      </c>
      <c r="E41" s="99">
        <f>E21*$E$5/2*E36</f>
        <v>6.5797362673929041E-6</v>
      </c>
      <c r="F41" s="30">
        <f t="shared" ref="F41:O41" si="16">F21*$E$5/2*F36</f>
        <v>0.65797362673929038</v>
      </c>
      <c r="G41" s="30">
        <f t="shared" si="16"/>
        <v>1.3159472534785808</v>
      </c>
      <c r="H41" s="30">
        <f t="shared" si="16"/>
        <v>1.9739208802178714</v>
      </c>
      <c r="I41" s="30">
        <f t="shared" si="16"/>
        <v>2.6318945069571615</v>
      </c>
      <c r="J41" s="100">
        <f t="shared" si="16"/>
        <v>3.2898681336964519</v>
      </c>
      <c r="K41" s="30">
        <f t="shared" si="16"/>
        <v>3.9478417604357428</v>
      </c>
      <c r="L41" s="30">
        <f t="shared" si="16"/>
        <v>4.6058153871750322</v>
      </c>
      <c r="M41" s="30">
        <f t="shared" si="16"/>
        <v>5.2637890139143231</v>
      </c>
      <c r="N41" s="30">
        <f t="shared" si="16"/>
        <v>5.9217626406536139</v>
      </c>
      <c r="O41" s="64">
        <f t="shared" si="16"/>
        <v>6.5797362673929038</v>
      </c>
      <c r="P41" s="252" t="s">
        <v>278</v>
      </c>
    </row>
    <row r="42" spans="1:16" s="2" customFormat="1" ht="15.45" customHeight="1" x14ac:dyDescent="0.25">
      <c r="A42" s="8"/>
      <c r="B42" s="7" t="s">
        <v>71</v>
      </c>
      <c r="C42" s="136" t="s">
        <v>15</v>
      </c>
      <c r="D42" s="8" t="s">
        <v>6</v>
      </c>
      <c r="E42" s="63">
        <f t="shared" ref="E42:O42" si="17">SQRT(E35^2+E41^2)</f>
        <v>12.312046751469566</v>
      </c>
      <c r="F42" s="63">
        <f t="shared" si="17"/>
        <v>12.329615748425148</v>
      </c>
      <c r="G42" s="63">
        <f t="shared" si="17"/>
        <v>12.382173168885453</v>
      </c>
      <c r="H42" s="63">
        <f t="shared" si="17"/>
        <v>12.469276596967809</v>
      </c>
      <c r="I42" s="63">
        <f t="shared" si="17"/>
        <v>12.590209049339897</v>
      </c>
      <c r="J42" s="91">
        <f t="shared" si="17"/>
        <v>12.744007515198676</v>
      </c>
      <c r="K42" s="63">
        <f t="shared" si="17"/>
        <v>12.92949920823577</v>
      </c>
      <c r="L42" s="63">
        <f t="shared" si="17"/>
        <v>13.145342543694603</v>
      </c>
      <c r="M42" s="63">
        <f t="shared" si="17"/>
        <v>13.390069827799037</v>
      </c>
      <c r="N42" s="30">
        <f t="shared" si="17"/>
        <v>13.662128969621458</v>
      </c>
      <c r="O42" s="64">
        <f t="shared" si="17"/>
        <v>13.959922082833216</v>
      </c>
      <c r="P42" s="252" t="s">
        <v>279</v>
      </c>
    </row>
    <row r="43" spans="1:16" s="2" customFormat="1" ht="15.45" customHeight="1" x14ac:dyDescent="0.25">
      <c r="A43" s="8"/>
      <c r="B43" s="7" t="s">
        <v>62</v>
      </c>
      <c r="C43" s="136" t="s">
        <v>16</v>
      </c>
      <c r="D43" s="8"/>
      <c r="E43" s="17">
        <f>2*E40/$E$6/E42</f>
        <v>0.61741094912426742</v>
      </c>
      <c r="F43" s="17">
        <f t="shared" ref="F43:O43" si="18">2*F40/$E$6/F42</f>
        <v>0.57653246866633945</v>
      </c>
      <c r="G43" s="17">
        <f t="shared" si="18"/>
        <v>0.48892214040808729</v>
      </c>
      <c r="H43" s="17">
        <f t="shared" si="18"/>
        <v>0.37592668684066044</v>
      </c>
      <c r="I43" s="17">
        <f t="shared" si="18"/>
        <v>0.25064876975948031</v>
      </c>
      <c r="J43" s="86">
        <f t="shared" si="18"/>
        <v>0.12379807295081099</v>
      </c>
      <c r="K43" s="17">
        <f t="shared" si="18"/>
        <v>5.2908381206870289E-3</v>
      </c>
      <c r="L43" s="17">
        <f t="shared" si="18"/>
        <v>-9.4566952343659291E-2</v>
      </c>
      <c r="M43" s="17">
        <f t="shared" si="18"/>
        <v>-0.16306062651668579</v>
      </c>
      <c r="N43" s="132">
        <f t="shared" si="18"/>
        <v>-0.17854031698839631</v>
      </c>
      <c r="O43" s="18">
        <f t="shared" si="18"/>
        <v>0</v>
      </c>
      <c r="P43" s="252" t="s">
        <v>268</v>
      </c>
    </row>
    <row r="44" spans="1:16" s="2" customFormat="1" ht="15.45" customHeight="1" x14ac:dyDescent="0.25">
      <c r="A44" s="8"/>
      <c r="B44" s="7" t="s">
        <v>63</v>
      </c>
      <c r="C44" s="136" t="s">
        <v>34</v>
      </c>
      <c r="D44" s="8" t="s">
        <v>33</v>
      </c>
      <c r="E44" s="63">
        <f>E43*$E$3/2*E42^2*$E$6</f>
        <v>16.050884262807109</v>
      </c>
      <c r="F44" s="63">
        <f t="shared" ref="F44:O44" si="19">F43*$E$3/2*F42^2*$E$6</f>
        <v>15.030968997192991</v>
      </c>
      <c r="G44" s="63">
        <f t="shared" si="19"/>
        <v>12.855754658461453</v>
      </c>
      <c r="H44" s="63">
        <f t="shared" si="19"/>
        <v>10.02420175204997</v>
      </c>
      <c r="I44" s="63">
        <f t="shared" si="19"/>
        <v>6.813897310574534</v>
      </c>
      <c r="J44" s="63">
        <f t="shared" si="19"/>
        <v>3.4481809377509509</v>
      </c>
      <c r="K44" s="63">
        <f t="shared" si="19"/>
        <v>0.15168827276602193</v>
      </c>
      <c r="L44" s="63">
        <f t="shared" si="19"/>
        <v>-2.8025110422278487</v>
      </c>
      <c r="M44" s="63">
        <f t="shared" si="19"/>
        <v>-5.0139374838387436</v>
      </c>
      <c r="N44" s="30">
        <f t="shared" si="19"/>
        <v>-5.715275727810754</v>
      </c>
      <c r="O44" s="64">
        <f t="shared" si="19"/>
        <v>0</v>
      </c>
      <c r="P44" s="252" t="s">
        <v>269</v>
      </c>
    </row>
    <row r="45" spans="1:16" s="2" customFormat="1" ht="15.45" customHeight="1" x14ac:dyDescent="0.25">
      <c r="A45" s="8"/>
      <c r="B45" s="7" t="s">
        <v>72</v>
      </c>
      <c r="C45" s="135" t="s">
        <v>150</v>
      </c>
      <c r="D45" s="8" t="s">
        <v>87</v>
      </c>
      <c r="E45" s="63">
        <f>$E$11+E43/$E$10</f>
        <v>3.7682015864283773</v>
      </c>
      <c r="F45" s="63">
        <f t="shared" ref="F45:O45" si="20">$E$11+F43/$E$10</f>
        <v>3.3333241347482918</v>
      </c>
      <c r="G45" s="63">
        <f t="shared" si="20"/>
        <v>2.4012993660434816</v>
      </c>
      <c r="H45" s="63">
        <f t="shared" si="20"/>
        <v>1.1992200727729836</v>
      </c>
      <c r="I45" s="63">
        <f t="shared" si="20"/>
        <v>-0.13352372596297535</v>
      </c>
      <c r="J45" s="91">
        <f t="shared" si="20"/>
        <v>-1.4829992239275425</v>
      </c>
      <c r="K45" s="63">
        <f t="shared" si="20"/>
        <v>-2.7437144880777975</v>
      </c>
      <c r="L45" s="63">
        <f t="shared" si="20"/>
        <v>-3.8060314079112691</v>
      </c>
      <c r="M45" s="63">
        <f t="shared" si="20"/>
        <v>-4.5346875161349551</v>
      </c>
      <c r="N45" s="30">
        <f t="shared" si="20"/>
        <v>-4.6993650743446409</v>
      </c>
      <c r="O45" s="64">
        <f t="shared" si="20"/>
        <v>-2.8</v>
      </c>
      <c r="P45" s="252" t="s">
        <v>270</v>
      </c>
    </row>
    <row r="46" spans="1:16" s="2" customFormat="1" ht="15.45" customHeight="1" x14ac:dyDescent="0.25">
      <c r="A46" s="8"/>
      <c r="B46" s="7" t="s">
        <v>65</v>
      </c>
      <c r="C46" s="136" t="s">
        <v>17</v>
      </c>
      <c r="D46" s="8" t="s">
        <v>6</v>
      </c>
      <c r="E46" s="17">
        <f>E39/$E$5*18*(1/PI()-2/3*E37+(PI()/2*E37-2/3)*E21)</f>
        <v>0.57011824123118549</v>
      </c>
      <c r="F46" s="17">
        <f t="shared" ref="F46:O46" si="21">F39/$E$5*18*(1/PI()-2/3*F37+(PI()/2*F37-2/3)*F21)</f>
        <v>0.45071389998220845</v>
      </c>
      <c r="G46" s="17">
        <f t="shared" si="21"/>
        <v>0.33130836467787839</v>
      </c>
      <c r="H46" s="17">
        <f t="shared" si="21"/>
        <v>0.21190282937354837</v>
      </c>
      <c r="I46" s="17">
        <f t="shared" si="21"/>
        <v>9.2497294069218292E-2</v>
      </c>
      <c r="J46" s="86">
        <f t="shared" si="21"/>
        <v>-2.6908241235111725E-2</v>
      </c>
      <c r="K46" s="17">
        <f t="shared" si="21"/>
        <v>-0.14631377653944175</v>
      </c>
      <c r="L46" s="17">
        <f t="shared" si="21"/>
        <v>-0.26571931184377179</v>
      </c>
      <c r="M46" s="17">
        <f t="shared" si="21"/>
        <v>-0.38512484714810186</v>
      </c>
      <c r="N46" s="132">
        <f t="shared" si="21"/>
        <v>-0.50453038245243187</v>
      </c>
      <c r="O46" s="18">
        <f t="shared" si="21"/>
        <v>-0.62393591775676194</v>
      </c>
      <c r="P46" s="252" t="s">
        <v>271</v>
      </c>
    </row>
    <row r="47" spans="1:16" s="2" customFormat="1" ht="15.45" customHeight="1" x14ac:dyDescent="0.25">
      <c r="A47" s="8"/>
      <c r="B47" s="7" t="s">
        <v>66</v>
      </c>
      <c r="C47" s="135" t="s">
        <v>151</v>
      </c>
      <c r="D47" s="8" t="s">
        <v>87</v>
      </c>
      <c r="E47" s="63">
        <f t="shared" ref="E47:O47" si="22">DEGREES(ATAN(E46/E42))</f>
        <v>2.6512287070573697</v>
      </c>
      <c r="F47" s="63">
        <f t="shared" si="22"/>
        <v>2.0935373117550609</v>
      </c>
      <c r="G47" s="63">
        <f t="shared" si="22"/>
        <v>1.5326907991303835</v>
      </c>
      <c r="H47" s="63">
        <f t="shared" si="22"/>
        <v>0.9735904988445796</v>
      </c>
      <c r="I47" s="63">
        <f t="shared" si="22"/>
        <v>0.42093099474779311</v>
      </c>
      <c r="J47" s="91">
        <f t="shared" si="22"/>
        <v>-0.12097657380951291</v>
      </c>
      <c r="K47" s="63">
        <f t="shared" si="22"/>
        <v>-0.64834715783679997</v>
      </c>
      <c r="L47" s="63">
        <f t="shared" si="22"/>
        <v>-1.1580163812506461</v>
      </c>
      <c r="M47" s="63">
        <f t="shared" si="22"/>
        <v>-1.6474855555870402</v>
      </c>
      <c r="N47" s="30">
        <f t="shared" si="22"/>
        <v>-2.1149215771821788</v>
      </c>
      <c r="O47" s="64">
        <f t="shared" si="22"/>
        <v>-2.5591202269055784</v>
      </c>
      <c r="P47" s="252" t="s">
        <v>272</v>
      </c>
    </row>
    <row r="48" spans="1:16" s="2" customFormat="1" ht="15.45" customHeight="1" x14ac:dyDescent="0.25">
      <c r="A48" s="8"/>
      <c r="B48" s="7" t="s">
        <v>73</v>
      </c>
      <c r="C48" s="135" t="s">
        <v>152</v>
      </c>
      <c r="D48" s="8" t="s">
        <v>87</v>
      </c>
      <c r="E48" s="63">
        <f t="shared" ref="E48:O48" si="23">DEGREES(ATAN(E41/E35))</f>
        <v>3.0619695168538517E-5</v>
      </c>
      <c r="F48" s="63">
        <f t="shared" si="23"/>
        <v>3.0590595184964466</v>
      </c>
      <c r="G48" s="63">
        <f t="shared" si="23"/>
        <v>6.1007777176412095</v>
      </c>
      <c r="H48" s="63">
        <f t="shared" si="23"/>
        <v>9.1083959609422251</v>
      </c>
      <c r="I48" s="63">
        <f t="shared" si="23"/>
        <v>12.066272882628363</v>
      </c>
      <c r="J48" s="91">
        <f t="shared" si="23"/>
        <v>14.960330030000593</v>
      </c>
      <c r="K48" s="63">
        <f t="shared" si="23"/>
        <v>17.778380492301491</v>
      </c>
      <c r="L48" s="63">
        <f t="shared" si="23"/>
        <v>20.510327926995448</v>
      </c>
      <c r="M48" s="63">
        <f t="shared" si="23"/>
        <v>23.148238480435374</v>
      </c>
      <c r="N48" s="30">
        <f t="shared" si="23"/>
        <v>25.686300296381113</v>
      </c>
      <c r="O48" s="64">
        <f t="shared" si="23"/>
        <v>28.12069321197847</v>
      </c>
      <c r="P48" s="252" t="s">
        <v>280</v>
      </c>
    </row>
    <row r="49" spans="1:16" s="2" customFormat="1" ht="15.45" customHeight="1" x14ac:dyDescent="0.25">
      <c r="A49" s="8"/>
      <c r="B49" s="7" t="s">
        <v>64</v>
      </c>
      <c r="C49" s="135" t="s">
        <v>153</v>
      </c>
      <c r="D49" s="8" t="s">
        <v>87</v>
      </c>
      <c r="E49" s="99">
        <f>E48+E45+E47-$E$12</f>
        <v>4.4194609131809157</v>
      </c>
      <c r="F49" s="30">
        <f t="shared" ref="F49:O49" si="24">F48+F45+F47-$E$12</f>
        <v>6.4859209649997993</v>
      </c>
      <c r="G49" s="30">
        <f t="shared" si="24"/>
        <v>8.0347678828150748</v>
      </c>
      <c r="H49" s="30">
        <f t="shared" si="24"/>
        <v>9.2812065325597892</v>
      </c>
      <c r="I49" s="30">
        <f t="shared" si="24"/>
        <v>10.353680151413181</v>
      </c>
      <c r="J49" s="100">
        <f t="shared" si="24"/>
        <v>11.356354232263538</v>
      </c>
      <c r="K49" s="30">
        <f t="shared" si="24"/>
        <v>12.386318846386892</v>
      </c>
      <c r="L49" s="30">
        <f t="shared" si="24"/>
        <v>13.546280137833531</v>
      </c>
      <c r="M49" s="30">
        <f t="shared" si="24"/>
        <v>14.96606540871338</v>
      </c>
      <c r="N49" s="30">
        <f t="shared" si="24"/>
        <v>16.872013644854292</v>
      </c>
      <c r="O49" s="64">
        <f t="shared" si="24"/>
        <v>20.761572985072892</v>
      </c>
      <c r="P49" s="252" t="s">
        <v>273</v>
      </c>
    </row>
    <row r="50" spans="1:16" s="2" customFormat="1" ht="15.45" customHeight="1" x14ac:dyDescent="0.25">
      <c r="A50" s="59"/>
      <c r="B50" s="105" t="s">
        <v>97</v>
      </c>
      <c r="C50" s="138" t="s">
        <v>180</v>
      </c>
      <c r="D50" s="59" t="s">
        <v>88</v>
      </c>
      <c r="E50" s="61"/>
      <c r="F50" s="61"/>
      <c r="G50" s="61"/>
      <c r="H50" s="61"/>
      <c r="I50" s="61"/>
      <c r="J50" s="90">
        <f>(J49-J32)/J21/E5*2</f>
        <v>11.46282464113642</v>
      </c>
      <c r="K50" s="61"/>
      <c r="L50" s="61"/>
      <c r="M50" s="61"/>
      <c r="N50" s="61"/>
      <c r="O50" s="62"/>
      <c r="P50" s="252" t="s">
        <v>281</v>
      </c>
    </row>
    <row r="51" spans="1:16" s="2" customFormat="1" ht="15.45" customHeight="1" x14ac:dyDescent="0.25">
      <c r="A51" s="74" t="s">
        <v>78</v>
      </c>
      <c r="B51" s="234" t="s">
        <v>237</v>
      </c>
      <c r="C51" s="136" t="s">
        <v>181</v>
      </c>
      <c r="D51" s="68"/>
      <c r="E51" s="27">
        <f>E14/6/PI()</f>
        <v>0.48080708308061587</v>
      </c>
      <c r="F51" s="27">
        <f t="shared" ref="F51:O53" si="25">E51</f>
        <v>0.48080708308061587</v>
      </c>
      <c r="G51" s="27">
        <f t="shared" si="25"/>
        <v>0.48080708308061587</v>
      </c>
      <c r="H51" s="27">
        <f t="shared" si="25"/>
        <v>0.48080708308061587</v>
      </c>
      <c r="I51" s="27">
        <f t="shared" si="25"/>
        <v>0.48080708308061587</v>
      </c>
      <c r="J51" s="88">
        <f t="shared" si="25"/>
        <v>0.48080708308061587</v>
      </c>
      <c r="K51" s="27">
        <f t="shared" si="25"/>
        <v>0.48080708308061587</v>
      </c>
      <c r="L51" s="27">
        <f t="shared" si="25"/>
        <v>0.48080708308061587</v>
      </c>
      <c r="M51" s="27">
        <f t="shared" si="25"/>
        <v>0.48080708308061587</v>
      </c>
      <c r="N51" s="181">
        <f t="shared" si="25"/>
        <v>0.48080708308061587</v>
      </c>
      <c r="O51" s="28">
        <f t="shared" si="25"/>
        <v>0.48080708308061587</v>
      </c>
      <c r="P51" s="252" t="s">
        <v>266</v>
      </c>
    </row>
    <row r="52" spans="1:16" s="2" customFormat="1" ht="15.45" customHeight="1" x14ac:dyDescent="0.25">
      <c r="A52" s="15" t="s">
        <v>58</v>
      </c>
      <c r="B52" s="7" t="s">
        <v>69</v>
      </c>
      <c r="C52" s="136" t="s">
        <v>177</v>
      </c>
      <c r="D52" s="8"/>
      <c r="E52" s="27">
        <f>((2-PI()*E25)/E6/E10+270/E5*(1/PI()-2/3*E25))/((2-PI()*E51)/E6/E10+270/E5*(1/PI()-2/3*E51))*E15</f>
        <v>1.6493584963873464</v>
      </c>
      <c r="F52" s="27">
        <f t="shared" si="25"/>
        <v>1.6493584963873464</v>
      </c>
      <c r="G52" s="27">
        <f t="shared" si="25"/>
        <v>1.6493584963873464</v>
      </c>
      <c r="H52" s="27">
        <f t="shared" si="25"/>
        <v>1.6493584963873464</v>
      </c>
      <c r="I52" s="27">
        <f t="shared" si="25"/>
        <v>1.6493584963873464</v>
      </c>
      <c r="J52" s="88">
        <f t="shared" si="25"/>
        <v>1.6493584963873464</v>
      </c>
      <c r="K52" s="27">
        <f t="shared" si="25"/>
        <v>1.6493584963873464</v>
      </c>
      <c r="L52" s="27">
        <f t="shared" si="25"/>
        <v>1.6493584963873464</v>
      </c>
      <c r="M52" s="27">
        <f t="shared" si="25"/>
        <v>1.6493584963873464</v>
      </c>
      <c r="N52" s="181">
        <f t="shared" si="25"/>
        <v>1.6493584963873464</v>
      </c>
      <c r="O52" s="28">
        <f t="shared" si="25"/>
        <v>1.6493584963873464</v>
      </c>
      <c r="P52" s="252" t="s">
        <v>276</v>
      </c>
    </row>
    <row r="53" spans="1:16" s="2" customFormat="1" ht="15.45" customHeight="1" x14ac:dyDescent="0.25">
      <c r="A53" s="72"/>
      <c r="B53" s="12" t="s">
        <v>60</v>
      </c>
      <c r="C53" s="139" t="s">
        <v>162</v>
      </c>
      <c r="D53" s="220" t="s">
        <v>213</v>
      </c>
      <c r="E53" s="22">
        <f>E24*E52</f>
        <v>1.6168589848966251</v>
      </c>
      <c r="F53" s="22">
        <f t="shared" si="25"/>
        <v>1.6168589848966251</v>
      </c>
      <c r="G53" s="22">
        <f t="shared" si="25"/>
        <v>1.6168589848966251</v>
      </c>
      <c r="H53" s="22">
        <f t="shared" si="25"/>
        <v>1.6168589848966251</v>
      </c>
      <c r="I53" s="22">
        <f t="shared" si="25"/>
        <v>1.6168589848966251</v>
      </c>
      <c r="J53" s="87">
        <f t="shared" si="25"/>
        <v>1.6168589848966251</v>
      </c>
      <c r="K53" s="22">
        <f t="shared" si="25"/>
        <v>1.6168589848966251</v>
      </c>
      <c r="L53" s="22">
        <f t="shared" si="25"/>
        <v>1.6168589848966251</v>
      </c>
      <c r="M53" s="22">
        <f t="shared" si="25"/>
        <v>1.6168589848966251</v>
      </c>
      <c r="N53" s="22">
        <f t="shared" si="25"/>
        <v>1.6168589848966251</v>
      </c>
      <c r="O53" s="23">
        <f t="shared" si="25"/>
        <v>1.6168589848966251</v>
      </c>
      <c r="P53" s="252" t="s">
        <v>277</v>
      </c>
    </row>
    <row r="54" spans="1:16" s="2" customFormat="1" ht="15.45" customHeight="1" x14ac:dyDescent="0.25">
      <c r="A54" s="15" t="s">
        <v>84</v>
      </c>
      <c r="B54" s="7" t="s">
        <v>61</v>
      </c>
      <c r="C54" s="136" t="s">
        <v>163</v>
      </c>
      <c r="D54" s="116" t="s">
        <v>213</v>
      </c>
      <c r="E54" s="17">
        <f>E53*(12/PI()-6*E51)</f>
        <v>1.5115628798072176</v>
      </c>
      <c r="F54" s="17">
        <f t="shared" ref="F54:O54" si="26">F53*((12/PI()-6*F51)*SQRT(1-F21^2)+(18*F51-24/PI())*F21^2*ACOSH(1/F21))</f>
        <v>1.553112577863546</v>
      </c>
      <c r="G54" s="17">
        <f t="shared" si="26"/>
        <v>1.6315219579976004</v>
      </c>
      <c r="H54" s="17">
        <f t="shared" si="26"/>
        <v>1.7187270667052201</v>
      </c>
      <c r="I54" s="17">
        <f t="shared" si="26"/>
        <v>1.7968136863608508</v>
      </c>
      <c r="J54" s="86">
        <f t="shared" si="26"/>
        <v>1.8494186933586916</v>
      </c>
      <c r="K54" s="17">
        <f t="shared" si="26"/>
        <v>1.8583684413435193</v>
      </c>
      <c r="L54" s="17">
        <f t="shared" si="26"/>
        <v>1.7997183594139108</v>
      </c>
      <c r="M54" s="17">
        <f t="shared" si="26"/>
        <v>1.6350229661602693</v>
      </c>
      <c r="N54" s="132">
        <f t="shared" si="26"/>
        <v>1.2799067299424463</v>
      </c>
      <c r="O54" s="18">
        <f t="shared" si="26"/>
        <v>0</v>
      </c>
      <c r="P54" s="252" t="s">
        <v>267</v>
      </c>
    </row>
    <row r="55" spans="1:16" s="2" customFormat="1" ht="15.45" customHeight="1" x14ac:dyDescent="0.25">
      <c r="A55" s="8"/>
      <c r="B55" s="73" t="s">
        <v>70</v>
      </c>
      <c r="C55" s="136" t="s">
        <v>25</v>
      </c>
      <c r="D55" s="8" t="s">
        <v>6</v>
      </c>
      <c r="E55" s="99">
        <f>-E21*$E$5/2*E36</f>
        <v>-6.5797362673929041E-6</v>
      </c>
      <c r="F55" s="30">
        <f t="shared" ref="F55:O55" si="27">-F21*$E$5/2*F36</f>
        <v>-0.65797362673929038</v>
      </c>
      <c r="G55" s="30">
        <f t="shared" si="27"/>
        <v>-1.3159472534785808</v>
      </c>
      <c r="H55" s="30">
        <f t="shared" si="27"/>
        <v>-1.9739208802178714</v>
      </c>
      <c r="I55" s="30">
        <f t="shared" si="27"/>
        <v>-2.6318945069571615</v>
      </c>
      <c r="J55" s="100">
        <f t="shared" si="27"/>
        <v>-3.2898681336964519</v>
      </c>
      <c r="K55" s="30">
        <f t="shared" si="27"/>
        <v>-3.9478417604357428</v>
      </c>
      <c r="L55" s="30">
        <f t="shared" si="27"/>
        <v>-4.6058153871750322</v>
      </c>
      <c r="M55" s="30">
        <f t="shared" si="27"/>
        <v>-5.2637890139143231</v>
      </c>
      <c r="N55" s="30">
        <f t="shared" si="27"/>
        <v>-5.9217626406536139</v>
      </c>
      <c r="O55" s="64">
        <f t="shared" si="27"/>
        <v>-6.5797362673929038</v>
      </c>
      <c r="P55" s="252" t="s">
        <v>278</v>
      </c>
    </row>
    <row r="56" spans="1:16" s="2" customFormat="1" ht="15.45" customHeight="1" x14ac:dyDescent="0.25">
      <c r="A56" s="8"/>
      <c r="B56" s="7" t="s">
        <v>71</v>
      </c>
      <c r="C56" s="136" t="s">
        <v>18</v>
      </c>
      <c r="D56" s="8" t="s">
        <v>6</v>
      </c>
      <c r="E56" s="63">
        <f t="shared" ref="E56:O56" si="28">SQRT(E35^2+E55^2)</f>
        <v>12.312046751469566</v>
      </c>
      <c r="F56" s="63">
        <f t="shared" si="28"/>
        <v>12.329615748425148</v>
      </c>
      <c r="G56" s="63">
        <f t="shared" si="28"/>
        <v>12.382173168885453</v>
      </c>
      <c r="H56" s="63">
        <f t="shared" si="28"/>
        <v>12.469276596967809</v>
      </c>
      <c r="I56" s="63">
        <f t="shared" si="28"/>
        <v>12.590209049339897</v>
      </c>
      <c r="J56" s="91">
        <f t="shared" si="28"/>
        <v>12.744007515198676</v>
      </c>
      <c r="K56" s="63">
        <f t="shared" si="28"/>
        <v>12.92949920823577</v>
      </c>
      <c r="L56" s="63">
        <f t="shared" si="28"/>
        <v>13.145342543694603</v>
      </c>
      <c r="M56" s="63">
        <f t="shared" si="28"/>
        <v>13.390069827799037</v>
      </c>
      <c r="N56" s="30">
        <f t="shared" si="28"/>
        <v>13.662128969621458</v>
      </c>
      <c r="O56" s="64">
        <f t="shared" si="28"/>
        <v>13.959922082833216</v>
      </c>
      <c r="P56" s="252" t="s">
        <v>279</v>
      </c>
    </row>
    <row r="57" spans="1:16" s="2" customFormat="1" ht="15.45" customHeight="1" x14ac:dyDescent="0.25">
      <c r="A57" s="8"/>
      <c r="B57" s="7" t="s">
        <v>62</v>
      </c>
      <c r="C57" s="136" t="s">
        <v>19</v>
      </c>
      <c r="D57" s="8"/>
      <c r="E57" s="17">
        <f>2*E54/$E$6/E56</f>
        <v>0.8769360554629132</v>
      </c>
      <c r="F57" s="17">
        <f t="shared" ref="F57:O57" si="29">2*F54/$E$6/F56</f>
        <v>0.89975725901035342</v>
      </c>
      <c r="G57" s="17">
        <f t="shared" si="29"/>
        <v>0.94116986674806835</v>
      </c>
      <c r="H57" s="17">
        <f t="shared" si="29"/>
        <v>0.98454964965831515</v>
      </c>
      <c r="I57" s="17">
        <f t="shared" si="29"/>
        <v>1.0193939928804423</v>
      </c>
      <c r="J57" s="86">
        <f t="shared" si="29"/>
        <v>1.0365760933706347</v>
      </c>
      <c r="K57" s="17">
        <f t="shared" si="29"/>
        <v>1.0266492214064722</v>
      </c>
      <c r="L57" s="17">
        <f t="shared" si="29"/>
        <v>0.97792287237406239</v>
      </c>
      <c r="M57" s="17">
        <f t="shared" si="29"/>
        <v>0.87219376917118119</v>
      </c>
      <c r="N57" s="132">
        <f t="shared" si="29"/>
        <v>0.66916297953917181</v>
      </c>
      <c r="O57" s="18">
        <f t="shared" si="29"/>
        <v>0</v>
      </c>
      <c r="P57" s="252" t="s">
        <v>268</v>
      </c>
    </row>
    <row r="58" spans="1:16" s="2" customFormat="1" ht="15.45" customHeight="1" x14ac:dyDescent="0.25">
      <c r="A58" s="8"/>
      <c r="B58" s="7" t="s">
        <v>63</v>
      </c>
      <c r="C58" s="136" t="s">
        <v>35</v>
      </c>
      <c r="D58" s="8" t="s">
        <v>33</v>
      </c>
      <c r="E58" s="99">
        <f>E57*$E$3/2*E56^2*$E$6</f>
        <v>22.797780233866238</v>
      </c>
      <c r="F58" s="30">
        <f t="shared" ref="F58:O58" si="30">F57*$E$3/2*F56^2*$E$6</f>
        <v>23.457869591401852</v>
      </c>
      <c r="G58" s="30">
        <f t="shared" si="30"/>
        <v>24.747189580637549</v>
      </c>
      <c r="H58" s="30">
        <f t="shared" si="30"/>
        <v>26.253321907067107</v>
      </c>
      <c r="I58" s="30">
        <f t="shared" si="30"/>
        <v>27.712268419147748</v>
      </c>
      <c r="J58" s="30">
        <f t="shared" si="30"/>
        <v>28.872032015467305</v>
      </c>
      <c r="K58" s="30">
        <f t="shared" si="30"/>
        <v>29.434022281427687</v>
      </c>
      <c r="L58" s="30">
        <f t="shared" si="30"/>
        <v>28.980945037923121</v>
      </c>
      <c r="M58" s="30">
        <f t="shared" si="30"/>
        <v>26.819012816502855</v>
      </c>
      <c r="N58" s="30">
        <f t="shared" si="30"/>
        <v>21.420657246611206</v>
      </c>
      <c r="O58" s="64">
        <f t="shared" si="30"/>
        <v>0</v>
      </c>
      <c r="P58" s="252" t="s">
        <v>269</v>
      </c>
    </row>
    <row r="59" spans="1:16" s="2" customFormat="1" ht="15.45" customHeight="1" x14ac:dyDescent="0.25">
      <c r="A59" s="8"/>
      <c r="B59" s="7" t="s">
        <v>72</v>
      </c>
      <c r="C59" s="136" t="s">
        <v>168</v>
      </c>
      <c r="D59" s="8" t="s">
        <v>87</v>
      </c>
      <c r="E59" s="99">
        <f>$E$11+E57/$E$10</f>
        <v>6.5291069730097151</v>
      </c>
      <c r="F59" s="30">
        <f t="shared" ref="F59:O59" si="31">$E$11+F57/$E$10</f>
        <v>6.7718857341526961</v>
      </c>
      <c r="G59" s="30">
        <f t="shared" si="31"/>
        <v>7.2124453909368968</v>
      </c>
      <c r="H59" s="30">
        <f t="shared" si="31"/>
        <v>7.6739324431735652</v>
      </c>
      <c r="I59" s="30">
        <f t="shared" si="31"/>
        <v>8.044616945536621</v>
      </c>
      <c r="J59" s="100">
        <f t="shared" si="31"/>
        <v>8.227405248623775</v>
      </c>
      <c r="K59" s="30">
        <f t="shared" si="31"/>
        <v>8.1218002277284285</v>
      </c>
      <c r="L59" s="30">
        <f t="shared" si="31"/>
        <v>7.6034348124900264</v>
      </c>
      <c r="M59" s="30">
        <f t="shared" si="31"/>
        <v>6.4786571188423538</v>
      </c>
      <c r="N59" s="30">
        <f t="shared" si="31"/>
        <v>4.3187551014805514</v>
      </c>
      <c r="O59" s="64">
        <f t="shared" si="31"/>
        <v>-2.8</v>
      </c>
      <c r="P59" s="252" t="s">
        <v>270</v>
      </c>
    </row>
    <row r="60" spans="1:16" s="2" customFormat="1" ht="15.45" customHeight="1" x14ac:dyDescent="0.25">
      <c r="A60" s="8"/>
      <c r="B60" s="7" t="s">
        <v>65</v>
      </c>
      <c r="C60" s="136" t="s">
        <v>20</v>
      </c>
      <c r="D60" s="8" t="s">
        <v>6</v>
      </c>
      <c r="E60" s="150">
        <f>E53/$E$5*18*(1/PI()-2/3*E51+(PI()/2*E51-2/3)*E21)</f>
        <v>-2.3158878232149072E-2</v>
      </c>
      <c r="F60" s="132">
        <f t="shared" ref="F60:O60" si="32">F53/$E$5*18*(1/PI()-2/3*F51+(PI()/2*F51-2/3)*F21)</f>
        <v>6.8914545717892295E-2</v>
      </c>
      <c r="G60" s="132">
        <f t="shared" si="32"/>
        <v>0.16098889041138059</v>
      </c>
      <c r="H60" s="132">
        <f t="shared" si="32"/>
        <v>0.25306323510486889</v>
      </c>
      <c r="I60" s="132">
        <f t="shared" si="32"/>
        <v>0.34513757979835724</v>
      </c>
      <c r="J60" s="133">
        <f t="shared" si="32"/>
        <v>0.43721192449184548</v>
      </c>
      <c r="K60" s="132">
        <f t="shared" si="32"/>
        <v>0.52928626918533372</v>
      </c>
      <c r="L60" s="132">
        <f t="shared" si="32"/>
        <v>0.62136061387882202</v>
      </c>
      <c r="M60" s="132">
        <f t="shared" si="32"/>
        <v>0.71343495857231043</v>
      </c>
      <c r="N60" s="132">
        <f t="shared" si="32"/>
        <v>0.80550930326579873</v>
      </c>
      <c r="O60" s="18">
        <f t="shared" si="32"/>
        <v>0.89758364795928702</v>
      </c>
      <c r="P60" s="252" t="s">
        <v>271</v>
      </c>
    </row>
    <row r="61" spans="1:16" s="2" customFormat="1" ht="15.45" customHeight="1" x14ac:dyDescent="0.25">
      <c r="A61" s="8"/>
      <c r="B61" s="7" t="s">
        <v>66</v>
      </c>
      <c r="C61" s="136" t="s">
        <v>169</v>
      </c>
      <c r="D61" s="8" t="s">
        <v>87</v>
      </c>
      <c r="E61" s="63">
        <f t="shared" ref="E61:O61" si="33">DEGREES(ATAN(E60/E56))</f>
        <v>-0.10777285392291545</v>
      </c>
      <c r="F61" s="63">
        <f t="shared" si="33"/>
        <v>0.32024286723511275</v>
      </c>
      <c r="G61" s="63">
        <f t="shared" si="33"/>
        <v>0.74489866560187301</v>
      </c>
      <c r="H61" s="63">
        <f t="shared" si="33"/>
        <v>1.1626548661061493</v>
      </c>
      <c r="I61" s="63">
        <f t="shared" si="33"/>
        <v>1.5702658572025106</v>
      </c>
      <c r="J61" s="91">
        <f t="shared" si="33"/>
        <v>1.9648903162298792</v>
      </c>
      <c r="K61" s="63">
        <f t="shared" si="33"/>
        <v>2.3441701833274822</v>
      </c>
      <c r="L61" s="63">
        <f t="shared" si="33"/>
        <v>2.706271158687533</v>
      </c>
      <c r="M61" s="63">
        <f t="shared" si="33"/>
        <v>3.0498867636935052</v>
      </c>
      <c r="N61" s="30">
        <f t="shared" si="33"/>
        <v>3.3742117836632759</v>
      </c>
      <c r="O61" s="64">
        <f t="shared" si="33"/>
        <v>3.6788930570713592</v>
      </c>
      <c r="P61" s="252" t="s">
        <v>272</v>
      </c>
    </row>
    <row r="62" spans="1:16" s="2" customFormat="1" ht="15.45" customHeight="1" x14ac:dyDescent="0.25">
      <c r="A62" s="8"/>
      <c r="B62" s="7" t="s">
        <v>73</v>
      </c>
      <c r="C62" s="135" t="s">
        <v>174</v>
      </c>
      <c r="D62" s="8" t="s">
        <v>87</v>
      </c>
      <c r="E62" s="63">
        <f t="shared" ref="E62:O62" si="34">DEGREES(ATAN(E55/E35))</f>
        <v>-3.0619695168538517E-5</v>
      </c>
      <c r="F62" s="63">
        <f t="shared" si="34"/>
        <v>-3.0590595184964466</v>
      </c>
      <c r="G62" s="63">
        <f t="shared" si="34"/>
        <v>-6.1007777176412095</v>
      </c>
      <c r="H62" s="63">
        <f t="shared" si="34"/>
        <v>-9.1083959609422251</v>
      </c>
      <c r="I62" s="63">
        <f t="shared" si="34"/>
        <v>-12.066272882628363</v>
      </c>
      <c r="J62" s="91">
        <f t="shared" si="34"/>
        <v>-14.960330030000593</v>
      </c>
      <c r="K62" s="63">
        <f t="shared" si="34"/>
        <v>-17.778380492301491</v>
      </c>
      <c r="L62" s="63">
        <f t="shared" si="34"/>
        <v>-20.510327926995448</v>
      </c>
      <c r="M62" s="63">
        <f t="shared" si="34"/>
        <v>-23.148238480435374</v>
      </c>
      <c r="N62" s="30">
        <f t="shared" si="34"/>
        <v>-25.686300296381113</v>
      </c>
      <c r="O62" s="64">
        <f t="shared" si="34"/>
        <v>-28.12069321197847</v>
      </c>
      <c r="P62" s="252" t="s">
        <v>280</v>
      </c>
    </row>
    <row r="63" spans="1:16" s="2" customFormat="1" ht="15.45" customHeight="1" x14ac:dyDescent="0.25">
      <c r="A63" s="8"/>
      <c r="B63" s="7" t="s">
        <v>64</v>
      </c>
      <c r="C63" s="136" t="s">
        <v>170</v>
      </c>
      <c r="D63" s="8" t="s">
        <v>87</v>
      </c>
      <c r="E63" s="99">
        <f>E62+E59+E61-$E$12</f>
        <v>4.4213034993916311</v>
      </c>
      <c r="F63" s="30">
        <f t="shared" ref="F63:O63" si="35">F62+F59+F61-$E$12</f>
        <v>2.0330690828913625</v>
      </c>
      <c r="G63" s="30">
        <f t="shared" si="35"/>
        <v>-0.1434336611024396</v>
      </c>
      <c r="H63" s="30">
        <f t="shared" si="35"/>
        <v>-2.2718086516625107</v>
      </c>
      <c r="I63" s="30">
        <f t="shared" si="35"/>
        <v>-4.4513900798892312</v>
      </c>
      <c r="J63" s="100">
        <f t="shared" si="35"/>
        <v>-6.7680344651469388</v>
      </c>
      <c r="K63" s="30">
        <f t="shared" si="35"/>
        <v>-9.3124100812455808</v>
      </c>
      <c r="L63" s="30">
        <f t="shared" si="35"/>
        <v>-12.200621955817889</v>
      </c>
      <c r="M63" s="30">
        <f t="shared" si="35"/>
        <v>-15.619694597899516</v>
      </c>
      <c r="N63" s="30">
        <f t="shared" si="35"/>
        <v>-19.993333411237284</v>
      </c>
      <c r="O63" s="64">
        <f t="shared" si="35"/>
        <v>-29.241800154907111</v>
      </c>
      <c r="P63" s="252" t="s">
        <v>273</v>
      </c>
    </row>
    <row r="64" spans="1:16" s="2" customFormat="1" ht="15.45" customHeight="1" x14ac:dyDescent="0.25">
      <c r="A64" s="8"/>
      <c r="B64" s="58" t="s">
        <v>97</v>
      </c>
      <c r="C64" s="140" t="s">
        <v>182</v>
      </c>
      <c r="D64" s="59" t="s">
        <v>88</v>
      </c>
      <c r="E64" s="61"/>
      <c r="F64" s="61"/>
      <c r="G64" s="61"/>
      <c r="H64" s="61"/>
      <c r="I64" s="61"/>
      <c r="J64" s="90">
        <f>(J63-J32)/J21/E5*2</f>
        <v>-14.429159212307122</v>
      </c>
      <c r="K64" s="61"/>
      <c r="L64" s="61"/>
      <c r="M64" s="61"/>
      <c r="N64" s="61"/>
      <c r="O64" s="62"/>
      <c r="P64" s="252" t="s">
        <v>281</v>
      </c>
    </row>
    <row r="65" spans="1:16" s="2" customFormat="1" ht="15.45" customHeight="1" x14ac:dyDescent="0.25">
      <c r="A65" s="75" t="s">
        <v>138</v>
      </c>
      <c r="B65" s="58" t="s">
        <v>98</v>
      </c>
      <c r="C65" s="141" t="s">
        <v>175</v>
      </c>
      <c r="D65" s="31" t="s">
        <v>88</v>
      </c>
      <c r="E65" s="76"/>
      <c r="F65" s="76"/>
      <c r="G65" s="76"/>
      <c r="H65" s="76"/>
      <c r="I65" s="76"/>
      <c r="J65" s="95">
        <f>J50-J64</f>
        <v>25.891983853443541</v>
      </c>
      <c r="K65" s="76"/>
      <c r="L65" s="76"/>
      <c r="M65" s="76"/>
      <c r="N65" s="76"/>
      <c r="O65" s="77"/>
      <c r="P65" s="253"/>
    </row>
    <row r="66" spans="1:16" s="2" customFormat="1" ht="27.9" customHeight="1" x14ac:dyDescent="0.25">
      <c r="A66" s="47"/>
      <c r="B66" s="48"/>
      <c r="C66" s="49"/>
      <c r="D66" s="50"/>
      <c r="E66" s="46"/>
      <c r="F66" s="46"/>
      <c r="G66" s="46"/>
      <c r="H66" s="46"/>
      <c r="I66" s="46"/>
      <c r="J66" s="229" t="s">
        <v>199</v>
      </c>
      <c r="K66" s="266" t="s">
        <v>200</v>
      </c>
      <c r="L66" s="267"/>
      <c r="M66" s="267"/>
      <c r="N66" s="267"/>
      <c r="O66" s="267"/>
      <c r="P66" s="254"/>
    </row>
    <row r="67" spans="1:16" s="2" customFormat="1" ht="19.95" customHeight="1" x14ac:dyDescent="0.25">
      <c r="A67" s="32"/>
      <c r="B67" s="108" t="s">
        <v>104</v>
      </c>
      <c r="C67" s="33"/>
      <c r="D67" s="29"/>
      <c r="E67" s="30"/>
      <c r="F67" s="30"/>
      <c r="G67" s="30"/>
      <c r="H67" s="30"/>
      <c r="I67" s="30"/>
      <c r="J67" s="30"/>
      <c r="K67" s="30"/>
      <c r="L67" s="30"/>
      <c r="M67" s="30"/>
      <c r="N67" s="30"/>
      <c r="O67" s="30"/>
      <c r="P67" s="255"/>
    </row>
    <row r="68" spans="1:16" s="2" customFormat="1" ht="19.95" customHeight="1" x14ac:dyDescent="0.25">
      <c r="A68" s="32"/>
      <c r="B68" s="53" t="s">
        <v>136</v>
      </c>
      <c r="C68" s="33"/>
      <c r="D68" s="29"/>
      <c r="E68" s="30"/>
      <c r="F68" s="30"/>
      <c r="G68" s="30"/>
      <c r="H68" s="30"/>
      <c r="I68" s="30"/>
      <c r="J68" s="30"/>
      <c r="K68" s="30"/>
      <c r="L68" s="30"/>
      <c r="M68" s="30"/>
      <c r="N68" s="30"/>
      <c r="O68" s="30"/>
      <c r="P68" s="256"/>
    </row>
    <row r="69" spans="1:16" s="2" customFormat="1" ht="19.95" customHeight="1" x14ac:dyDescent="0.25">
      <c r="A69" s="32"/>
      <c r="B69" s="4" t="s">
        <v>28</v>
      </c>
      <c r="C69" s="4" t="s">
        <v>8</v>
      </c>
      <c r="D69" s="54" t="s">
        <v>42</v>
      </c>
      <c r="E69" s="4" t="s">
        <v>43</v>
      </c>
      <c r="F69" s="30"/>
      <c r="G69" s="30"/>
      <c r="H69" s="30"/>
      <c r="I69" s="30"/>
      <c r="J69" s="30"/>
      <c r="K69" s="30"/>
      <c r="L69" s="30"/>
      <c r="M69" s="30"/>
      <c r="N69" s="30"/>
      <c r="O69" s="30"/>
      <c r="P69" s="251" t="s">
        <v>287</v>
      </c>
    </row>
    <row r="70" spans="1:16" s="2" customFormat="1" ht="25.95" customHeight="1" x14ac:dyDescent="0.25">
      <c r="A70" s="10"/>
      <c r="B70" s="245" t="s">
        <v>74</v>
      </c>
      <c r="C70" s="67" t="s">
        <v>30</v>
      </c>
      <c r="D70" s="68" t="s">
        <v>29</v>
      </c>
      <c r="E70" s="213">
        <f>E2*E4*E5/2*E25</f>
        <v>23.315562543190296</v>
      </c>
      <c r="F70" s="271" t="s">
        <v>220</v>
      </c>
      <c r="G70" s="272"/>
      <c r="H70" s="272"/>
      <c r="I70" s="272"/>
      <c r="J70" s="272"/>
      <c r="K70" s="272"/>
      <c r="L70" s="272"/>
      <c r="M70" s="10"/>
      <c r="N70" s="10"/>
      <c r="O70" s="10"/>
      <c r="P70" s="252" t="s">
        <v>288</v>
      </c>
    </row>
    <row r="71" spans="1:16" s="2" customFormat="1" ht="19.95" customHeight="1" x14ac:dyDescent="0.25">
      <c r="A71" s="10"/>
      <c r="B71" s="215" t="s">
        <v>251</v>
      </c>
      <c r="C71" s="136" t="s">
        <v>203</v>
      </c>
      <c r="D71" s="116" t="s">
        <v>29</v>
      </c>
      <c r="E71" s="214">
        <f>E70*E15^2</f>
        <v>25.950803999634378</v>
      </c>
      <c r="F71" s="10"/>
      <c r="G71" s="10"/>
      <c r="H71" s="10"/>
      <c r="I71" s="10"/>
      <c r="J71" s="10"/>
      <c r="K71" s="10"/>
      <c r="L71" s="10"/>
      <c r="M71" s="10"/>
      <c r="N71" s="10"/>
      <c r="O71" s="10"/>
      <c r="P71" s="252" t="s">
        <v>289</v>
      </c>
    </row>
    <row r="72" spans="1:16" s="2" customFormat="1" ht="19.95" customHeight="1" x14ac:dyDescent="0.25">
      <c r="A72" s="10"/>
      <c r="B72" s="153" t="s">
        <v>75</v>
      </c>
      <c r="C72" s="9" t="s">
        <v>201</v>
      </c>
      <c r="D72" s="8" t="s">
        <v>29</v>
      </c>
      <c r="E72" s="212">
        <f>E4*E2*E37*E5/2*E38</f>
        <v>0</v>
      </c>
      <c r="F72" s="10"/>
      <c r="G72" s="10"/>
      <c r="H72" s="10"/>
      <c r="I72" s="10"/>
      <c r="J72" s="10"/>
      <c r="K72" s="10"/>
      <c r="L72" s="10"/>
      <c r="M72" s="10"/>
      <c r="N72" s="10"/>
      <c r="O72" s="10"/>
      <c r="P72" s="252" t="s">
        <v>288</v>
      </c>
    </row>
    <row r="73" spans="1:16" s="2" customFormat="1" ht="19.95" customHeight="1" x14ac:dyDescent="0.25">
      <c r="A73" s="10"/>
      <c r="B73" s="154" t="s">
        <v>76</v>
      </c>
      <c r="C73" s="9" t="s">
        <v>202</v>
      </c>
      <c r="D73" s="8" t="s">
        <v>29</v>
      </c>
      <c r="E73" s="212">
        <f>E4*E2*E51*E5/2*E52</f>
        <v>43.565525130276136</v>
      </c>
      <c r="F73" s="10"/>
      <c r="G73" s="10"/>
      <c r="H73" s="10"/>
      <c r="I73" s="10"/>
      <c r="J73" s="10"/>
      <c r="K73" s="10"/>
      <c r="L73" s="10"/>
      <c r="M73" s="10"/>
      <c r="N73" s="10"/>
      <c r="O73" s="10"/>
      <c r="P73" s="252" t="s">
        <v>288</v>
      </c>
    </row>
    <row r="74" spans="1:16" s="2" customFormat="1" ht="28.05" customHeight="1" x14ac:dyDescent="0.25">
      <c r="A74" s="10"/>
      <c r="B74" s="154" t="s">
        <v>252</v>
      </c>
      <c r="C74" s="9" t="s">
        <v>134</v>
      </c>
      <c r="D74" s="8" t="s">
        <v>133</v>
      </c>
      <c r="E74" s="155">
        <f>E72*(-E36)</f>
        <v>0</v>
      </c>
      <c r="F74" s="10"/>
      <c r="G74" s="10"/>
      <c r="H74" s="10"/>
      <c r="I74" s="10"/>
      <c r="J74" s="10"/>
      <c r="K74" s="10"/>
      <c r="L74" s="10"/>
      <c r="M74" s="10"/>
      <c r="N74" s="10"/>
      <c r="O74" s="10"/>
      <c r="P74" s="252" t="s">
        <v>282</v>
      </c>
    </row>
    <row r="75" spans="1:16" s="2" customFormat="1" ht="28.05" customHeight="1" x14ac:dyDescent="0.25">
      <c r="A75" s="10"/>
      <c r="B75" s="154" t="s">
        <v>148</v>
      </c>
      <c r="C75" s="9" t="s">
        <v>135</v>
      </c>
      <c r="D75" s="8" t="s">
        <v>133</v>
      </c>
      <c r="E75" s="155">
        <f>E73*E36</f>
        <v>204.74976121978207</v>
      </c>
      <c r="F75" s="10"/>
      <c r="G75" s="10"/>
      <c r="H75" s="10"/>
      <c r="I75" s="10"/>
      <c r="J75" s="10"/>
      <c r="K75" s="10"/>
      <c r="L75" s="10"/>
      <c r="M75" s="10"/>
      <c r="N75" s="10"/>
      <c r="O75" s="10"/>
      <c r="P75" s="252" t="s">
        <v>282</v>
      </c>
    </row>
    <row r="76" spans="1:16" s="2" customFormat="1" ht="19.95" customHeight="1" x14ac:dyDescent="0.25">
      <c r="A76" s="10"/>
      <c r="B76" s="7" t="s">
        <v>238</v>
      </c>
      <c r="C76" s="9" t="s">
        <v>31</v>
      </c>
      <c r="D76" s="9" t="s">
        <v>1</v>
      </c>
      <c r="E76" s="158">
        <v>0.8</v>
      </c>
      <c r="F76" s="124" t="s">
        <v>137</v>
      </c>
      <c r="G76" s="10"/>
      <c r="H76" s="10"/>
      <c r="I76" s="10"/>
      <c r="J76" s="10"/>
      <c r="K76" s="10"/>
      <c r="L76" s="10"/>
      <c r="M76" s="10"/>
      <c r="N76" s="10"/>
      <c r="O76" s="10"/>
      <c r="P76" s="252"/>
    </row>
    <row r="77" spans="1:16" s="2" customFormat="1" ht="19.95" customHeight="1" x14ac:dyDescent="0.25">
      <c r="A77" s="10"/>
      <c r="B77" s="240" t="s">
        <v>244</v>
      </c>
      <c r="C77" s="241" t="s">
        <v>245</v>
      </c>
      <c r="D77" s="116" t="s">
        <v>214</v>
      </c>
      <c r="E77" s="156">
        <f>E17*PI()/180*(2*PI()/E16)^2</f>
        <v>42.185410449387504</v>
      </c>
      <c r="F77" s="10"/>
      <c r="G77" s="10"/>
      <c r="H77" s="10"/>
      <c r="I77" s="10"/>
      <c r="J77" s="10"/>
      <c r="K77" s="10"/>
      <c r="L77" s="10"/>
      <c r="M77" s="10"/>
      <c r="N77" s="10"/>
      <c r="O77" s="10"/>
      <c r="P77" s="252" t="s">
        <v>283</v>
      </c>
    </row>
    <row r="78" spans="1:16" s="2" customFormat="1" ht="28.05" customHeight="1" x14ac:dyDescent="0.25">
      <c r="A78" s="34"/>
      <c r="B78" s="243" t="s">
        <v>241</v>
      </c>
      <c r="C78" s="241" t="s">
        <v>242</v>
      </c>
      <c r="D78" s="116" t="s">
        <v>215</v>
      </c>
      <c r="E78" s="157">
        <f>E76/3*(E5/2)^2</f>
        <v>0.52266666666666661</v>
      </c>
      <c r="F78" s="34"/>
      <c r="G78" s="34"/>
      <c r="H78" s="34"/>
      <c r="I78" s="34"/>
      <c r="J78" s="34"/>
      <c r="K78" s="34"/>
      <c r="L78" s="34"/>
      <c r="M78" s="34"/>
      <c r="N78" s="34"/>
      <c r="O78" s="34"/>
      <c r="P78" s="257"/>
    </row>
    <row r="79" spans="1:16" s="2" customFormat="1" ht="19.95" customHeight="1" x14ac:dyDescent="0.25">
      <c r="A79" s="34"/>
      <c r="B79" s="243" t="s">
        <v>248</v>
      </c>
      <c r="C79" s="241" t="s">
        <v>246</v>
      </c>
      <c r="D79" s="8" t="s">
        <v>29</v>
      </c>
      <c r="E79" s="244">
        <f>E78*E77</f>
        <v>22.048907861546532</v>
      </c>
      <c r="F79" s="34"/>
      <c r="G79" s="34"/>
      <c r="H79" s="34"/>
      <c r="I79" s="34"/>
      <c r="J79" s="34"/>
      <c r="K79" s="34"/>
      <c r="L79" s="34"/>
      <c r="M79" s="34"/>
      <c r="N79" s="34"/>
      <c r="O79" s="34"/>
      <c r="P79" s="252" t="s">
        <v>284</v>
      </c>
    </row>
    <row r="80" spans="1:16" s="2" customFormat="1" ht="19.95" customHeight="1" x14ac:dyDescent="0.25">
      <c r="A80" s="34"/>
      <c r="B80" s="242" t="s">
        <v>247</v>
      </c>
      <c r="C80" s="237" t="s">
        <v>243</v>
      </c>
      <c r="D80" s="238" t="s">
        <v>29</v>
      </c>
      <c r="E80" s="239">
        <f>E5/2*E25*E97</f>
        <v>23.040412677121097</v>
      </c>
      <c r="F80" s="34"/>
      <c r="G80" s="34"/>
      <c r="H80" s="34"/>
      <c r="I80" s="34"/>
      <c r="J80" s="34"/>
      <c r="K80" s="34"/>
      <c r="L80" s="34"/>
      <c r="M80" s="34"/>
      <c r="N80" s="34"/>
      <c r="O80" s="34"/>
      <c r="P80" s="252"/>
    </row>
    <row r="81" spans="1:16" s="2" customFormat="1" ht="19.95" customHeight="1" x14ac:dyDescent="0.25">
      <c r="A81" s="34"/>
      <c r="B81" s="240" t="s">
        <v>239</v>
      </c>
      <c r="C81" s="241" t="s">
        <v>240</v>
      </c>
      <c r="D81" s="246" t="s">
        <v>3</v>
      </c>
      <c r="E81" s="157">
        <f>SQRT(E78/E76)</f>
        <v>0.808290376865476</v>
      </c>
      <c r="F81" s="34"/>
      <c r="G81" s="34"/>
      <c r="H81" s="34"/>
      <c r="I81" s="34"/>
      <c r="J81" s="34"/>
      <c r="K81" s="34"/>
      <c r="L81" s="34"/>
      <c r="M81" s="34"/>
      <c r="N81" s="34"/>
      <c r="O81" s="34"/>
      <c r="P81" s="252"/>
    </row>
    <row r="82" spans="1:16" s="2" customFormat="1" ht="19.95" customHeight="1" x14ac:dyDescent="0.25">
      <c r="A82" s="34"/>
      <c r="B82" s="240" t="s">
        <v>250</v>
      </c>
      <c r="C82" s="246" t="s">
        <v>249</v>
      </c>
      <c r="D82" s="246" t="s">
        <v>33</v>
      </c>
      <c r="E82" s="247">
        <f>E79/E81</f>
        <v>27.278449048288174</v>
      </c>
      <c r="F82" s="34"/>
      <c r="G82" s="34"/>
      <c r="H82" s="34"/>
      <c r="I82" s="34"/>
      <c r="J82" s="34"/>
      <c r="K82" s="34"/>
      <c r="L82" s="34"/>
      <c r="M82" s="34"/>
      <c r="N82" s="34"/>
      <c r="O82" s="34"/>
      <c r="P82" s="252"/>
    </row>
    <row r="83" spans="1:16" s="2" customFormat="1" ht="19.95" customHeight="1" x14ac:dyDescent="0.25">
      <c r="A83" s="34"/>
      <c r="B83" s="240" t="s">
        <v>253</v>
      </c>
      <c r="C83" s="246"/>
      <c r="D83" s="246" t="s">
        <v>143</v>
      </c>
      <c r="E83" s="247">
        <f>E82/E97*100</f>
        <v>70.347119714768553</v>
      </c>
      <c r="F83" s="34"/>
      <c r="G83" s="34"/>
      <c r="H83" s="34"/>
      <c r="I83" s="34"/>
      <c r="J83" s="34"/>
      <c r="K83" s="34"/>
      <c r="L83" s="34"/>
      <c r="M83" s="34"/>
      <c r="N83" s="34"/>
      <c r="O83" s="34"/>
      <c r="P83" s="253"/>
    </row>
    <row r="84" spans="1:16" s="2" customFormat="1" ht="19.95" customHeight="1" x14ac:dyDescent="0.25">
      <c r="A84" s="34"/>
      <c r="B84" s="248"/>
      <c r="C84" s="249"/>
      <c r="D84" s="249"/>
      <c r="E84" s="250"/>
      <c r="F84" s="34"/>
      <c r="G84" s="34"/>
      <c r="H84" s="34"/>
      <c r="I84" s="34"/>
      <c r="J84" s="34"/>
      <c r="K84" s="34"/>
      <c r="L84" s="34"/>
      <c r="M84" s="34"/>
      <c r="N84" s="34"/>
      <c r="O84" s="34"/>
      <c r="P84" s="254"/>
    </row>
    <row r="85" spans="1:16" s="2" customFormat="1" ht="12" customHeight="1" x14ac:dyDescent="0.25">
      <c r="A85" s="34"/>
      <c r="B85" s="45"/>
      <c r="C85" s="35"/>
      <c r="D85" s="35"/>
      <c r="E85" s="36"/>
      <c r="F85" s="34"/>
      <c r="G85" s="34"/>
      <c r="H85" s="34"/>
      <c r="I85" s="34"/>
      <c r="J85" s="34"/>
      <c r="K85" s="34"/>
      <c r="L85" s="34"/>
      <c r="M85" s="34"/>
      <c r="N85" s="34"/>
      <c r="O85" s="34"/>
      <c r="P85" s="255"/>
    </row>
    <row r="86" spans="1:16" s="2" customFormat="1" ht="24" customHeight="1" x14ac:dyDescent="0.25">
      <c r="A86" s="34"/>
      <c r="B86" s="109" t="s">
        <v>125</v>
      </c>
      <c r="C86" s="35"/>
      <c r="D86" s="35"/>
      <c r="E86" s="36"/>
      <c r="F86" s="34"/>
      <c r="G86" s="34"/>
      <c r="H86" s="34"/>
      <c r="I86" s="34"/>
      <c r="J86" s="34"/>
      <c r="K86" s="34"/>
      <c r="L86" s="34"/>
      <c r="M86" s="34"/>
      <c r="N86" s="34"/>
      <c r="O86" s="34"/>
      <c r="P86" s="255"/>
    </row>
    <row r="87" spans="1:16" s="2" customFormat="1" ht="16.2" customHeight="1" x14ac:dyDescent="0.25">
      <c r="A87" s="34"/>
      <c r="B87" s="37" t="s">
        <v>80</v>
      </c>
      <c r="C87" s="38"/>
      <c r="D87" s="39"/>
      <c r="E87" s="37"/>
      <c r="F87" s="40"/>
      <c r="G87" s="40"/>
      <c r="H87" s="40"/>
      <c r="I87" s="40"/>
      <c r="J87" s="5" t="s">
        <v>81</v>
      </c>
      <c r="K87" s="40"/>
      <c r="L87" s="40"/>
      <c r="M87" s="40"/>
      <c r="N87" s="40"/>
      <c r="O87" s="41"/>
      <c r="P87" s="255"/>
    </row>
    <row r="88" spans="1:16" s="2" customFormat="1" ht="16.2" customHeight="1" x14ac:dyDescent="0.25">
      <c r="A88" s="34"/>
      <c r="B88" s="230" t="s">
        <v>222</v>
      </c>
      <c r="C88" s="40"/>
      <c r="D88" s="41"/>
      <c r="E88" s="186">
        <v>0.5</v>
      </c>
      <c r="F88" s="186">
        <v>1</v>
      </c>
      <c r="G88" s="186">
        <v>1</v>
      </c>
      <c r="H88" s="186">
        <v>1</v>
      </c>
      <c r="I88" s="186">
        <v>1</v>
      </c>
      <c r="J88" s="186">
        <v>1</v>
      </c>
      <c r="K88" s="186">
        <v>1</v>
      </c>
      <c r="L88" s="186">
        <v>1</v>
      </c>
      <c r="M88" s="186">
        <v>1</v>
      </c>
      <c r="N88" s="186">
        <v>1</v>
      </c>
      <c r="O88" s="186">
        <v>0.5</v>
      </c>
      <c r="P88" s="255"/>
    </row>
    <row r="89" spans="1:16" s="2" customFormat="1" ht="16.2" customHeight="1" x14ac:dyDescent="0.25">
      <c r="A89" s="34"/>
      <c r="B89" s="51" t="s">
        <v>79</v>
      </c>
      <c r="C89" s="51" t="s">
        <v>47</v>
      </c>
      <c r="D89" s="174"/>
      <c r="E89" s="160">
        <f t="shared" ref="E89:O89" si="36">E28*E88</f>
        <v>8.9217713813183614</v>
      </c>
      <c r="F89" s="160">
        <f t="shared" si="36"/>
        <v>17.754100882307171</v>
      </c>
      <c r="G89" s="160">
        <f t="shared" si="36"/>
        <v>17.483029988805402</v>
      </c>
      <c r="H89" s="160">
        <f t="shared" si="36"/>
        <v>17.021654933447302</v>
      </c>
      <c r="I89" s="160">
        <f t="shared" si="36"/>
        <v>16.353877075201016</v>
      </c>
      <c r="J89" s="160">
        <f t="shared" si="36"/>
        <v>15.452961325965088</v>
      </c>
      <c r="K89" s="160">
        <f t="shared" si="36"/>
        <v>14.274834210116506</v>
      </c>
      <c r="L89" s="160">
        <f t="shared" si="36"/>
        <v>12.742838355107756</v>
      </c>
      <c r="M89" s="160">
        <f t="shared" si="36"/>
        <v>10.706125657587375</v>
      </c>
      <c r="N89" s="160">
        <f t="shared" si="36"/>
        <v>7.7778199697118868</v>
      </c>
      <c r="O89" s="160">
        <f t="shared" si="36"/>
        <v>0</v>
      </c>
      <c r="P89" s="255"/>
    </row>
    <row r="90" spans="1:16" s="2" customFormat="1" ht="16.2" customHeight="1" x14ac:dyDescent="0.25">
      <c r="A90" s="34"/>
      <c r="B90" s="51"/>
      <c r="C90" s="51" t="s">
        <v>77</v>
      </c>
      <c r="D90" s="174"/>
      <c r="E90" s="160">
        <f t="shared" ref="E90:O90" si="37">E44*COS(RADIANS(E48))*E88</f>
        <v>8.0254421314024089</v>
      </c>
      <c r="F90" s="160">
        <f t="shared" si="37"/>
        <v>15.009550726423985</v>
      </c>
      <c r="G90" s="160">
        <f t="shared" si="37"/>
        <v>12.78294611305494</v>
      </c>
      <c r="H90" s="160">
        <f t="shared" si="37"/>
        <v>9.8978027841163438</v>
      </c>
      <c r="I90" s="160">
        <f t="shared" si="37"/>
        <v>6.6633541920332853</v>
      </c>
      <c r="J90" s="160">
        <f t="shared" si="37"/>
        <v>3.3313041335292994</v>
      </c>
      <c r="K90" s="160">
        <f t="shared" si="37"/>
        <v>0.1444443497668535</v>
      </c>
      <c r="L90" s="160">
        <f t="shared" si="37"/>
        <v>-2.6248571962824059</v>
      </c>
      <c r="M90" s="160">
        <f t="shared" si="37"/>
        <v>-4.61026966280627</v>
      </c>
      <c r="N90" s="160">
        <f t="shared" si="37"/>
        <v>-5.1504960987266166</v>
      </c>
      <c r="O90" s="160">
        <f t="shared" si="37"/>
        <v>0</v>
      </c>
      <c r="P90" s="255"/>
    </row>
    <row r="91" spans="1:16" s="2" customFormat="1" ht="16.2" customHeight="1" x14ac:dyDescent="0.25">
      <c r="A91" s="34"/>
      <c r="B91" s="52"/>
      <c r="C91" s="52" t="s">
        <v>78</v>
      </c>
      <c r="D91" s="104"/>
      <c r="E91" s="44">
        <f t="shared" ref="E91:O91" si="38">E58*COS(RADIANS(E62))*E88</f>
        <v>11.398890116931492</v>
      </c>
      <c r="F91" s="44">
        <f t="shared" si="38"/>
        <v>23.424443469462108</v>
      </c>
      <c r="G91" s="44">
        <f t="shared" si="38"/>
        <v>24.607033913068122</v>
      </c>
      <c r="H91" s="44">
        <f t="shared" si="38"/>
        <v>25.922283797902562</v>
      </c>
      <c r="I91" s="44">
        <f t="shared" si="38"/>
        <v>27.100006284936207</v>
      </c>
      <c r="J91" s="44">
        <f t="shared" si="38"/>
        <v>27.893408534196627</v>
      </c>
      <c r="K91" s="44">
        <f t="shared" si="38"/>
        <v>28.028390935810371</v>
      </c>
      <c r="L91" s="44">
        <f t="shared" si="38"/>
        <v>27.143815311209291</v>
      </c>
      <c r="M91" s="44">
        <f t="shared" si="38"/>
        <v>24.659837018883781</v>
      </c>
      <c r="N91" s="44">
        <f t="shared" si="38"/>
        <v>19.303882583297867</v>
      </c>
      <c r="O91" s="44">
        <f t="shared" si="38"/>
        <v>0</v>
      </c>
      <c r="P91" s="255"/>
    </row>
    <row r="92" spans="1:16" s="2" customFormat="1" ht="16.2" customHeight="1" x14ac:dyDescent="0.25">
      <c r="A92" s="34"/>
      <c r="B92" s="103" t="s">
        <v>103</v>
      </c>
      <c r="C92" s="51" t="s">
        <v>77</v>
      </c>
      <c r="D92" s="174"/>
      <c r="E92" s="160">
        <f t="shared" ref="E92:O92" si="39">-E44*SIN(RADIANS(E48))*E88</f>
        <v>-4.2889126170314563E-6</v>
      </c>
      <c r="F92" s="160">
        <f t="shared" si="39"/>
        <v>-0.80213214963752177</v>
      </c>
      <c r="G92" s="160">
        <f t="shared" si="39"/>
        <v>-1.3662783425374758</v>
      </c>
      <c r="H92" s="160">
        <f t="shared" si="39"/>
        <v>-1.5868587878385556</v>
      </c>
      <c r="I92" s="160">
        <f t="shared" si="39"/>
        <v>-1.4243972306092518</v>
      </c>
      <c r="J92" s="160">
        <f t="shared" si="39"/>
        <v>-0.89014861085081132</v>
      </c>
      <c r="K92" s="160">
        <f t="shared" si="39"/>
        <v>-4.6315892684584581E-2</v>
      </c>
      <c r="L92" s="160">
        <f t="shared" si="39"/>
        <v>0.98193321612698803</v>
      </c>
      <c r="M92" s="160">
        <f t="shared" si="39"/>
        <v>1.9710359530083033</v>
      </c>
      <c r="N92" s="160">
        <f t="shared" si="39"/>
        <v>2.4772498020798484</v>
      </c>
      <c r="O92" s="160">
        <f t="shared" si="39"/>
        <v>0</v>
      </c>
      <c r="P92" s="255"/>
    </row>
    <row r="93" spans="1:16" s="2" customFormat="1" ht="16.2" customHeight="1" x14ac:dyDescent="0.25">
      <c r="A93" s="34"/>
      <c r="B93" s="52"/>
      <c r="C93" s="52" t="s">
        <v>78</v>
      </c>
      <c r="D93" s="104"/>
      <c r="E93" s="44">
        <f t="shared" ref="E93:O93" si="40">-E58*SIN(RADIANS(E62))*E88</f>
        <v>6.091732124186352E-6</v>
      </c>
      <c r="F93" s="44">
        <f t="shared" si="40"/>
        <v>1.2518362165993249</v>
      </c>
      <c r="G93" s="44">
        <f t="shared" si="40"/>
        <v>2.6300711285307501</v>
      </c>
      <c r="H93" s="44">
        <f t="shared" si="40"/>
        <v>4.1559732743471853</v>
      </c>
      <c r="I93" s="44">
        <f t="shared" si="40"/>
        <v>5.7930544871692486</v>
      </c>
      <c r="J93" s="44">
        <f t="shared" si="40"/>
        <v>7.4533209408005305</v>
      </c>
      <c r="K93" s="44">
        <f t="shared" si="40"/>
        <v>8.98726706028949</v>
      </c>
      <c r="L93" s="44">
        <f t="shared" si="40"/>
        <v>10.154233877653244</v>
      </c>
      <c r="M93" s="44">
        <f t="shared" si="40"/>
        <v>10.542859510295743</v>
      </c>
      <c r="N93" s="44">
        <f t="shared" si="40"/>
        <v>9.2846472246955365</v>
      </c>
      <c r="O93" s="44">
        <f t="shared" si="40"/>
        <v>0</v>
      </c>
      <c r="P93" s="255"/>
    </row>
    <row r="94" spans="1:16" s="2" customFormat="1" ht="15.9" customHeight="1" x14ac:dyDescent="0.25">
      <c r="A94" s="35"/>
      <c r="B94" s="48"/>
      <c r="C94" s="50"/>
      <c r="D94" s="50"/>
      <c r="E94" s="42"/>
      <c r="F94" s="42"/>
      <c r="G94" s="42"/>
      <c r="H94" s="42"/>
      <c r="I94" s="42"/>
      <c r="J94" s="42"/>
      <c r="K94" s="42"/>
      <c r="L94" s="42"/>
      <c r="M94" s="42"/>
      <c r="N94" s="42"/>
      <c r="O94" s="42"/>
      <c r="P94" s="255"/>
    </row>
    <row r="95" spans="1:16" s="2" customFormat="1" ht="24" customHeight="1" x14ac:dyDescent="0.25">
      <c r="A95" s="35"/>
      <c r="B95" s="109" t="s">
        <v>116</v>
      </c>
      <c r="C95" s="35"/>
      <c r="D95" s="35"/>
      <c r="E95" s="42"/>
      <c r="F95" s="42"/>
      <c r="G95" s="42"/>
      <c r="H95" s="42"/>
      <c r="I95" s="42"/>
      <c r="J95" s="42"/>
      <c r="K95" s="42"/>
      <c r="L95" s="42"/>
      <c r="M95" s="42"/>
      <c r="N95" s="42"/>
      <c r="O95" s="42"/>
      <c r="P95" s="255"/>
    </row>
    <row r="96" spans="1:16" s="2" customFormat="1" ht="15.9" customHeight="1" x14ac:dyDescent="0.25">
      <c r="A96" s="35"/>
      <c r="B96" s="119"/>
      <c r="C96" s="4" t="s">
        <v>8</v>
      </c>
      <c r="D96" s="54" t="s">
        <v>42</v>
      </c>
      <c r="E96" s="4" t="s">
        <v>43</v>
      </c>
      <c r="F96" s="42"/>
      <c r="G96" s="42"/>
      <c r="H96" s="42"/>
      <c r="I96" s="42"/>
      <c r="J96" s="42"/>
      <c r="K96" s="42"/>
      <c r="L96" s="42"/>
      <c r="M96" s="42"/>
      <c r="N96" s="42"/>
      <c r="O96" s="42"/>
      <c r="P96" s="255"/>
    </row>
    <row r="97" spans="1:16" s="2" customFormat="1" ht="15" customHeight="1" x14ac:dyDescent="0.25">
      <c r="A97" s="35"/>
      <c r="B97" s="159" t="s">
        <v>194</v>
      </c>
      <c r="C97" s="102" t="s">
        <v>36</v>
      </c>
      <c r="D97" s="102" t="s">
        <v>33</v>
      </c>
      <c r="E97" s="217">
        <f>E5/E20*SUM(E89:O89)</f>
        <v>38.776923858278998</v>
      </c>
      <c r="F97" s="226" t="s">
        <v>216</v>
      </c>
      <c r="G97" s="98"/>
      <c r="H97" s="98"/>
      <c r="I97" s="98"/>
      <c r="J97" s="98"/>
      <c r="K97" s="98"/>
      <c r="L97" s="98"/>
      <c r="M97" s="98"/>
      <c r="N97" s="98"/>
      <c r="O97" s="98"/>
      <c r="P97" s="255"/>
    </row>
    <row r="98" spans="1:16" s="2" customFormat="1" ht="15" customHeight="1" x14ac:dyDescent="0.25">
      <c r="A98" s="35"/>
      <c r="B98" s="216" t="s">
        <v>209</v>
      </c>
      <c r="C98" s="136" t="s">
        <v>205</v>
      </c>
      <c r="D98" s="116" t="s">
        <v>33</v>
      </c>
      <c r="E98" s="166">
        <f>E97*COS(RADIANS(E17))*E15^2</f>
        <v>37.377384215946002</v>
      </c>
      <c r="F98" s="42"/>
      <c r="G98" s="98"/>
      <c r="H98" s="98"/>
      <c r="I98" s="98"/>
      <c r="J98" s="98"/>
      <c r="K98" s="98"/>
      <c r="L98" s="98"/>
      <c r="M98" s="98"/>
      <c r="N98" s="98"/>
      <c r="O98" s="98"/>
      <c r="P98" s="255"/>
    </row>
    <row r="99" spans="1:16" s="2" customFormat="1" ht="15" customHeight="1" x14ac:dyDescent="0.25">
      <c r="A99" s="34"/>
      <c r="B99" s="193" t="s">
        <v>122</v>
      </c>
      <c r="C99" s="116" t="s">
        <v>39</v>
      </c>
      <c r="D99" s="116" t="s">
        <v>33</v>
      </c>
      <c r="E99" s="166">
        <f>E5/E20*SUM(E90:O90)</f>
        <v>12.171382012303308</v>
      </c>
      <c r="F99" s="121" t="s">
        <v>128</v>
      </c>
      <c r="G99" s="120"/>
      <c r="H99" s="98"/>
      <c r="I99" s="98"/>
      <c r="J99" s="98"/>
      <c r="K99" s="98"/>
      <c r="L99" s="98"/>
      <c r="M99" s="98"/>
      <c r="N99" s="98"/>
      <c r="O99" s="98"/>
      <c r="P99" s="255"/>
    </row>
    <row r="100" spans="1:16" s="2" customFormat="1" ht="15" customHeight="1" x14ac:dyDescent="0.25">
      <c r="A100" s="34"/>
      <c r="B100" s="193" t="s">
        <v>123</v>
      </c>
      <c r="C100" s="116" t="s">
        <v>40</v>
      </c>
      <c r="D100" s="116" t="s">
        <v>33</v>
      </c>
      <c r="E100" s="166">
        <f>E5/E20*SUM(E91:O91)</f>
        <v>67.054957750395559</v>
      </c>
      <c r="F100" s="34"/>
      <c r="G100" s="98"/>
      <c r="H100" s="98"/>
      <c r="I100" s="98"/>
      <c r="J100" s="98"/>
      <c r="K100" s="98"/>
      <c r="L100" s="98"/>
      <c r="M100" s="98"/>
      <c r="N100" s="98"/>
      <c r="O100" s="98"/>
      <c r="P100" s="255"/>
    </row>
    <row r="101" spans="1:16" s="2" customFormat="1" ht="30" customHeight="1" x14ac:dyDescent="0.25">
      <c r="A101" s="34"/>
      <c r="B101" s="193" t="s">
        <v>119</v>
      </c>
      <c r="C101" s="116" t="s">
        <v>100</v>
      </c>
      <c r="D101" s="116" t="s">
        <v>33</v>
      </c>
      <c r="E101" s="166">
        <f>E98+(E99-E98)/2*2/PI()+(E100-E98)/2*2/PI()</f>
        <v>38.800729577317838</v>
      </c>
      <c r="F101" s="273" t="s">
        <v>221</v>
      </c>
      <c r="G101" s="274"/>
      <c r="H101" s="274"/>
      <c r="I101" s="274"/>
      <c r="J101" s="274"/>
      <c r="K101" s="274"/>
      <c r="L101" s="274"/>
      <c r="M101" s="274"/>
      <c r="N101" s="274"/>
      <c r="O101" s="274"/>
      <c r="P101" s="255"/>
    </row>
    <row r="102" spans="1:16" s="2" customFormat="1" ht="27.9" customHeight="1" x14ac:dyDescent="0.25">
      <c r="A102" s="34"/>
      <c r="B102" s="197" t="s">
        <v>195</v>
      </c>
      <c r="C102" s="104" t="s">
        <v>92</v>
      </c>
      <c r="D102" s="43"/>
      <c r="E102" s="196">
        <f>E101/E97</f>
        <v>1.0006139145829578</v>
      </c>
      <c r="F102" s="51" t="s">
        <v>208</v>
      </c>
      <c r="G102" s="211"/>
      <c r="H102" s="211"/>
      <c r="I102" s="211"/>
      <c r="J102" s="211"/>
      <c r="K102" s="211"/>
      <c r="L102" s="210"/>
      <c r="M102" s="210"/>
      <c r="N102" s="98"/>
      <c r="O102" s="98"/>
      <c r="P102" s="255"/>
    </row>
    <row r="103" spans="1:16" s="2" customFormat="1" ht="15" customHeight="1" x14ac:dyDescent="0.25">
      <c r="A103" s="34"/>
      <c r="B103" s="159" t="s">
        <v>193</v>
      </c>
      <c r="C103" s="102" t="s">
        <v>38</v>
      </c>
      <c r="D103" s="102" t="s">
        <v>33</v>
      </c>
      <c r="E103" s="106">
        <f>E5/E20*SUM(E92:O92)</f>
        <v>-0.19205657291959002</v>
      </c>
      <c r="F103" s="34"/>
      <c r="G103" s="98"/>
      <c r="H103" s="98"/>
      <c r="I103" s="98"/>
      <c r="J103" s="98"/>
      <c r="K103" s="98"/>
      <c r="L103" s="98"/>
      <c r="M103" s="98"/>
      <c r="N103" s="98"/>
      <c r="O103" s="98"/>
      <c r="P103" s="255"/>
    </row>
    <row r="104" spans="1:16" s="2" customFormat="1" ht="15" customHeight="1" x14ac:dyDescent="0.25">
      <c r="A104" s="34"/>
      <c r="B104" s="193" t="s">
        <v>123</v>
      </c>
      <c r="C104" s="116" t="s">
        <v>37</v>
      </c>
      <c r="D104" s="116" t="s">
        <v>33</v>
      </c>
      <c r="E104" s="160">
        <f>E5/E20*SUM(E93:O93)</f>
        <v>16.870915547391686</v>
      </c>
      <c r="F104" s="34"/>
      <c r="G104" s="98"/>
      <c r="H104" s="98"/>
      <c r="I104" s="98"/>
      <c r="J104" s="98"/>
      <c r="K104" s="98"/>
      <c r="L104" s="98"/>
      <c r="M104" s="98"/>
      <c r="N104" s="98"/>
      <c r="O104" s="98"/>
      <c r="P104" s="255"/>
    </row>
    <row r="105" spans="1:16" s="2" customFormat="1" ht="15" customHeight="1" x14ac:dyDescent="0.25">
      <c r="A105" s="34"/>
      <c r="B105" s="194" t="s">
        <v>119</v>
      </c>
      <c r="C105" s="43" t="s">
        <v>101</v>
      </c>
      <c r="D105" s="43" t="s">
        <v>33</v>
      </c>
      <c r="E105" s="44">
        <f>(E103/2+E104/2)*2/PI()</f>
        <v>5.3090457018397084</v>
      </c>
      <c r="F105" s="34"/>
      <c r="G105" s="98"/>
      <c r="H105" s="98"/>
      <c r="I105" s="98"/>
      <c r="J105" s="98"/>
      <c r="K105" s="98"/>
      <c r="L105" s="98"/>
      <c r="M105" s="98"/>
      <c r="N105" s="98"/>
      <c r="O105" s="98"/>
      <c r="P105" s="255"/>
    </row>
    <row r="106" spans="1:16" s="2" customFormat="1" ht="15" customHeight="1" x14ac:dyDescent="0.25">
      <c r="A106" s="34"/>
      <c r="B106" s="159" t="s">
        <v>184</v>
      </c>
      <c r="C106" s="102"/>
      <c r="D106" s="102"/>
      <c r="E106" s="106"/>
      <c r="F106" s="34"/>
      <c r="G106" s="98"/>
      <c r="H106" s="98"/>
      <c r="I106" s="98"/>
      <c r="J106" s="98"/>
      <c r="K106" s="98"/>
      <c r="L106" s="98"/>
      <c r="M106" s="98"/>
      <c r="N106" s="98"/>
      <c r="O106" s="98"/>
      <c r="P106" s="255"/>
    </row>
    <row r="107" spans="1:16" s="2" customFormat="1" ht="15" customHeight="1" x14ac:dyDescent="0.25">
      <c r="A107" s="34"/>
      <c r="B107" s="193" t="s">
        <v>121</v>
      </c>
      <c r="C107" s="116" t="s">
        <v>91</v>
      </c>
      <c r="D107" s="116" t="s">
        <v>33</v>
      </c>
      <c r="E107" s="199">
        <f>E24^2*E3*2/PI()*(9/2*PI()^2*E25^2-12*PI()*E25+9)</f>
        <v>0.74942879603111678</v>
      </c>
      <c r="F107" s="34"/>
      <c r="G107" s="98"/>
      <c r="H107" s="98"/>
      <c r="I107" s="98"/>
      <c r="J107" s="98"/>
      <c r="K107" s="98"/>
      <c r="L107" s="98"/>
      <c r="M107" s="98"/>
      <c r="N107" s="98"/>
      <c r="O107" s="98"/>
      <c r="P107" s="255"/>
    </row>
    <row r="108" spans="1:16" s="2" customFormat="1" ht="15" customHeight="1" x14ac:dyDescent="0.25">
      <c r="A108" s="34"/>
      <c r="B108" s="216" t="s">
        <v>209</v>
      </c>
      <c r="C108" s="136" t="s">
        <v>204</v>
      </c>
      <c r="D108" s="116" t="s">
        <v>33</v>
      </c>
      <c r="E108" s="199">
        <f>E107/E15^2</f>
        <v>0.67332611219974114</v>
      </c>
      <c r="F108" s="34"/>
      <c r="G108" s="98"/>
      <c r="H108" s="98"/>
      <c r="I108" s="98"/>
      <c r="J108" s="98"/>
      <c r="K108" s="98"/>
      <c r="L108" s="98"/>
      <c r="M108" s="98"/>
      <c r="N108" s="98"/>
      <c r="O108" s="98"/>
      <c r="P108" s="255"/>
    </row>
    <row r="109" spans="1:16" s="2" customFormat="1" ht="15" customHeight="1" x14ac:dyDescent="0.25">
      <c r="A109" s="34"/>
      <c r="B109" s="193" t="s">
        <v>126</v>
      </c>
      <c r="C109" s="116" t="s">
        <v>89</v>
      </c>
      <c r="D109" s="116" t="s">
        <v>33</v>
      </c>
      <c r="E109" s="199">
        <f>E39^2*E3*2/PI()*(9/2*PI()^2*E37^2-12*PI()*E37+9)</f>
        <v>0.54483024891685783</v>
      </c>
      <c r="F109" s="123" t="s">
        <v>129</v>
      </c>
      <c r="G109" s="101"/>
      <c r="H109" s="98"/>
      <c r="I109" s="98"/>
      <c r="J109" s="98"/>
      <c r="K109" s="98"/>
      <c r="L109" s="98"/>
      <c r="M109" s="98"/>
      <c r="N109" s="98"/>
      <c r="O109" s="98"/>
      <c r="P109" s="255"/>
    </row>
    <row r="110" spans="1:16" s="2" customFormat="1" ht="15" customHeight="1" x14ac:dyDescent="0.25">
      <c r="A110" s="34"/>
      <c r="B110" s="193" t="s">
        <v>127</v>
      </c>
      <c r="C110" s="116" t="s">
        <v>90</v>
      </c>
      <c r="D110" s="116" t="s">
        <v>33</v>
      </c>
      <c r="E110" s="199">
        <f>E53^2*E3*2/PI()*(9/2*PI()^2*E51^2-12*PI()*E51+9)</f>
        <v>2.3266969274774927</v>
      </c>
      <c r="F110" s="122" t="s">
        <v>124</v>
      </c>
      <c r="G110" s="107"/>
      <c r="H110" s="98"/>
      <c r="I110" s="98"/>
      <c r="J110" s="98"/>
      <c r="K110" s="98"/>
      <c r="L110" s="98"/>
      <c r="M110" s="98"/>
      <c r="N110" s="98"/>
      <c r="O110" s="98"/>
      <c r="P110" s="255"/>
    </row>
    <row r="111" spans="1:16" s="2" customFormat="1" ht="15" customHeight="1" x14ac:dyDescent="0.25">
      <c r="A111" s="34"/>
      <c r="B111" s="194" t="s">
        <v>119</v>
      </c>
      <c r="C111" s="43" t="s">
        <v>102</v>
      </c>
      <c r="D111" s="43" t="s">
        <v>33</v>
      </c>
      <c r="E111" s="196">
        <f>E108+(E109-E108)/PI()+(E110-E108)/PI()</f>
        <v>1.1587088846137408</v>
      </c>
      <c r="F111" s="122"/>
      <c r="G111" s="107"/>
      <c r="H111" s="98"/>
      <c r="I111" s="98"/>
      <c r="J111" s="98"/>
      <c r="K111" s="98"/>
      <c r="L111" s="98"/>
      <c r="M111" s="98"/>
      <c r="N111" s="98"/>
      <c r="O111" s="98"/>
      <c r="P111" s="255"/>
    </row>
    <row r="112" spans="1:16" s="2" customFormat="1" ht="15" customHeight="1" x14ac:dyDescent="0.25">
      <c r="A112" s="34"/>
      <c r="B112" s="161" t="s">
        <v>186</v>
      </c>
      <c r="C112" s="102"/>
      <c r="D112" s="102"/>
      <c r="E112" s="106"/>
      <c r="F112" s="34"/>
      <c r="G112" s="107"/>
      <c r="H112" s="98"/>
      <c r="I112" s="98"/>
      <c r="J112" s="98"/>
      <c r="K112" s="98"/>
      <c r="L112" s="98"/>
      <c r="M112" s="98"/>
      <c r="N112" s="98"/>
      <c r="O112" s="98"/>
      <c r="P112" s="255"/>
    </row>
    <row r="113" spans="1:16" s="2" customFormat="1" ht="15" customHeight="1" x14ac:dyDescent="0.25">
      <c r="A113" s="34"/>
      <c r="B113" s="193" t="s">
        <v>185</v>
      </c>
      <c r="C113" s="116" t="s">
        <v>106</v>
      </c>
      <c r="D113" s="116"/>
      <c r="E113" s="163">
        <v>1.2E-2</v>
      </c>
      <c r="F113" s="124" t="s">
        <v>137</v>
      </c>
      <c r="G113" s="107"/>
      <c r="H113" s="98"/>
      <c r="I113" s="98"/>
      <c r="J113" s="98"/>
      <c r="K113" s="98"/>
      <c r="L113" s="98"/>
      <c r="M113" s="98"/>
      <c r="N113" s="98"/>
      <c r="O113" s="98"/>
      <c r="P113" s="255"/>
    </row>
    <row r="114" spans="1:16" s="2" customFormat="1" ht="15" customHeight="1" x14ac:dyDescent="0.25">
      <c r="A114" s="34"/>
      <c r="B114" s="193" t="s">
        <v>121</v>
      </c>
      <c r="C114" s="116" t="s">
        <v>114</v>
      </c>
      <c r="D114" s="116" t="s">
        <v>33</v>
      </c>
      <c r="E114" s="200">
        <f>E113*E3/2*E22^2*E5*E6</f>
        <v>0.78479999999999994</v>
      </c>
      <c r="F114" s="110"/>
      <c r="G114" s="107"/>
      <c r="H114" s="98"/>
      <c r="I114" s="98"/>
      <c r="J114" s="98"/>
      <c r="K114" s="98"/>
      <c r="L114" s="98"/>
      <c r="M114" s="98"/>
      <c r="N114" s="98"/>
      <c r="O114" s="98"/>
      <c r="P114" s="255"/>
    </row>
    <row r="115" spans="1:16" s="2" customFormat="1" ht="15" customHeight="1" x14ac:dyDescent="0.25">
      <c r="A115" s="34"/>
      <c r="B115" s="195" t="s">
        <v>120</v>
      </c>
      <c r="C115" s="162" t="s">
        <v>115</v>
      </c>
      <c r="D115" s="162" t="s">
        <v>33</v>
      </c>
      <c r="E115" s="201">
        <f>E113*E3/2*J42^2*E5*E6</f>
        <v>0.93586981401937031</v>
      </c>
      <c r="F115" s="34"/>
      <c r="G115" s="107"/>
      <c r="H115" s="98"/>
      <c r="I115" s="98"/>
      <c r="J115" s="98"/>
      <c r="K115" s="98"/>
      <c r="L115" s="98"/>
      <c r="M115" s="98"/>
      <c r="N115" s="98"/>
      <c r="O115" s="98"/>
      <c r="P115" s="255"/>
    </row>
    <row r="116" spans="1:16" s="2" customFormat="1" ht="15" customHeight="1" x14ac:dyDescent="0.25">
      <c r="A116" s="34"/>
      <c r="B116" s="161" t="s">
        <v>187</v>
      </c>
      <c r="C116" s="118"/>
      <c r="D116" s="118"/>
      <c r="E116" s="164"/>
      <c r="F116" s="34"/>
      <c r="G116" s="107"/>
      <c r="H116" s="98"/>
      <c r="I116" s="98"/>
      <c r="J116" s="98"/>
      <c r="K116" s="98"/>
      <c r="L116" s="98"/>
      <c r="M116" s="98"/>
      <c r="N116" s="98"/>
      <c r="O116" s="98"/>
      <c r="P116" s="255"/>
    </row>
    <row r="117" spans="1:16" s="2" customFormat="1" ht="15" customHeight="1" x14ac:dyDescent="0.25">
      <c r="A117" s="34"/>
      <c r="B117" s="193" t="s">
        <v>185</v>
      </c>
      <c r="C117" s="116" t="s">
        <v>105</v>
      </c>
      <c r="D117" s="117"/>
      <c r="E117" s="165">
        <v>0.02</v>
      </c>
      <c r="F117" s="124" t="s">
        <v>137</v>
      </c>
      <c r="G117" s="107"/>
      <c r="H117" s="98"/>
      <c r="I117" s="98"/>
      <c r="J117" s="98"/>
      <c r="K117" s="98"/>
      <c r="L117" s="98"/>
      <c r="M117" s="98"/>
      <c r="N117" s="98"/>
      <c r="O117" s="98"/>
      <c r="P117" s="255"/>
    </row>
    <row r="118" spans="1:16" s="2" customFormat="1" ht="15" customHeight="1" x14ac:dyDescent="0.25">
      <c r="A118" s="34"/>
      <c r="B118" s="193" t="s">
        <v>121</v>
      </c>
      <c r="C118" s="116" t="s">
        <v>112</v>
      </c>
      <c r="D118" s="116" t="s">
        <v>33</v>
      </c>
      <c r="E118" s="160">
        <f>E117*E3/2*E22^2*E5*E6</f>
        <v>1.3079999999999996</v>
      </c>
      <c r="F118" s="34"/>
      <c r="G118" s="107"/>
      <c r="H118" s="98"/>
      <c r="I118" s="98"/>
      <c r="J118" s="98"/>
      <c r="K118" s="98"/>
      <c r="L118" s="98"/>
      <c r="M118" s="98"/>
      <c r="N118" s="98"/>
      <c r="O118" s="98"/>
      <c r="P118" s="255"/>
    </row>
    <row r="119" spans="1:16" s="2" customFormat="1" ht="15" customHeight="1" x14ac:dyDescent="0.25">
      <c r="A119" s="34"/>
      <c r="B119" s="194" t="s">
        <v>119</v>
      </c>
      <c r="C119" s="43" t="s">
        <v>113</v>
      </c>
      <c r="D119" s="43" t="s">
        <v>33</v>
      </c>
      <c r="E119" s="44">
        <f>E117*E3/2*E35^2*E5*E6</f>
        <v>1.4558366999999997</v>
      </c>
      <c r="F119" s="34"/>
      <c r="G119" s="107"/>
      <c r="H119" s="98"/>
      <c r="I119" s="98"/>
      <c r="J119" s="98"/>
      <c r="K119" s="98"/>
      <c r="L119" s="98"/>
      <c r="M119" s="98"/>
      <c r="N119" s="98"/>
      <c r="O119" s="98"/>
      <c r="P119" s="255"/>
    </row>
    <row r="120" spans="1:16" s="2" customFormat="1" ht="15" customHeight="1" x14ac:dyDescent="0.25">
      <c r="A120" s="34"/>
      <c r="B120" s="198" t="s">
        <v>196</v>
      </c>
      <c r="C120" s="190" t="s">
        <v>93</v>
      </c>
      <c r="D120" s="189" t="s">
        <v>33</v>
      </c>
      <c r="E120" s="160">
        <f>E105-E111-E115-E119</f>
        <v>1.758630303206598</v>
      </c>
      <c r="F120" s="34"/>
      <c r="G120" s="107"/>
      <c r="H120" s="98"/>
      <c r="I120" s="98"/>
      <c r="J120" s="98"/>
      <c r="K120" s="98"/>
      <c r="L120" s="98"/>
      <c r="M120" s="98"/>
      <c r="N120" s="98"/>
      <c r="O120" s="98"/>
      <c r="P120" s="255"/>
    </row>
    <row r="121" spans="1:16" s="2" customFormat="1" ht="27.9" customHeight="1" x14ac:dyDescent="0.25">
      <c r="A121" s="34"/>
      <c r="B121" s="182" t="s">
        <v>210</v>
      </c>
      <c r="C121" s="168"/>
      <c r="D121" s="168"/>
      <c r="E121" s="168"/>
      <c r="F121" s="110"/>
      <c r="G121" s="127"/>
      <c r="H121" s="34"/>
      <c r="I121" s="34"/>
      <c r="J121" s="98"/>
      <c r="K121" s="34"/>
      <c r="L121" s="34"/>
      <c r="M121" s="34"/>
      <c r="N121" s="34"/>
      <c r="O121" s="34"/>
      <c r="P121" s="255"/>
    </row>
    <row r="122" spans="1:16" s="2" customFormat="1" ht="15" customHeight="1" x14ac:dyDescent="0.25">
      <c r="A122" s="34"/>
      <c r="B122" s="193" t="s">
        <v>122</v>
      </c>
      <c r="C122" s="116" t="s">
        <v>139</v>
      </c>
      <c r="D122" s="116" t="s">
        <v>133</v>
      </c>
      <c r="E122" s="166">
        <f>(E71+(E72-E71)*2/PI())*(-E36)</f>
        <v>-44.319266174570856</v>
      </c>
      <c r="F122" s="225" t="s">
        <v>218</v>
      </c>
      <c r="G122" s="127"/>
      <c r="H122" s="34"/>
      <c r="I122" s="34"/>
      <c r="J122" s="98"/>
      <c r="K122" s="34"/>
      <c r="L122" s="34"/>
      <c r="M122" s="34"/>
      <c r="N122" s="34"/>
      <c r="O122" s="34"/>
      <c r="P122" s="255"/>
    </row>
    <row r="123" spans="1:16" s="2" customFormat="1" ht="15" customHeight="1" x14ac:dyDescent="0.25">
      <c r="A123" s="34"/>
      <c r="B123" s="193" t="s">
        <v>123</v>
      </c>
      <c r="C123" s="116" t="s">
        <v>140</v>
      </c>
      <c r="D123" s="116" t="s">
        <v>133</v>
      </c>
      <c r="E123" s="166">
        <f>(E71+(E73-E71)*2/PI())*E36</f>
        <v>174.66701255462516</v>
      </c>
      <c r="F123" s="110"/>
      <c r="G123" s="127"/>
      <c r="H123" s="34"/>
      <c r="I123" s="34"/>
      <c r="J123" s="98"/>
      <c r="K123" s="34"/>
      <c r="L123" s="34"/>
      <c r="M123" s="34"/>
      <c r="N123" s="34"/>
      <c r="O123" s="34"/>
      <c r="P123" s="255"/>
    </row>
    <row r="124" spans="1:16" s="2" customFormat="1" ht="15" customHeight="1" x14ac:dyDescent="0.25">
      <c r="A124" s="34"/>
      <c r="B124" s="228" t="s">
        <v>217</v>
      </c>
      <c r="C124" s="43" t="s">
        <v>141</v>
      </c>
      <c r="D124" s="43" t="s">
        <v>133</v>
      </c>
      <c r="E124" s="167">
        <f>(E122+E123)/2</f>
        <v>65.173873190027152</v>
      </c>
      <c r="F124" s="227" t="s">
        <v>219</v>
      </c>
      <c r="G124" s="127"/>
      <c r="H124" s="34"/>
      <c r="I124" s="34"/>
      <c r="J124" s="98"/>
      <c r="K124" s="34"/>
      <c r="L124" s="34"/>
      <c r="M124" s="34"/>
      <c r="N124" s="34"/>
      <c r="O124" s="34"/>
      <c r="P124" s="255"/>
    </row>
    <row r="125" spans="1:16" s="2" customFormat="1" ht="15" customHeight="1" x14ac:dyDescent="0.25">
      <c r="A125" s="34"/>
      <c r="B125" s="161" t="s">
        <v>146</v>
      </c>
      <c r="C125" s="168"/>
      <c r="D125" s="168"/>
      <c r="E125" s="168"/>
      <c r="F125" s="110"/>
      <c r="G125" s="127"/>
      <c r="H125" s="34"/>
      <c r="I125" s="34"/>
      <c r="J125" s="98"/>
      <c r="K125" s="34"/>
      <c r="L125" s="34"/>
      <c r="M125" s="34"/>
      <c r="N125" s="34"/>
      <c r="O125" s="34"/>
      <c r="P125" s="255"/>
    </row>
    <row r="126" spans="1:16" s="2" customFormat="1" ht="15" customHeight="1" x14ac:dyDescent="0.25">
      <c r="A126" s="34"/>
      <c r="B126" s="193" t="s">
        <v>145</v>
      </c>
      <c r="C126" s="169" t="s">
        <v>142</v>
      </c>
      <c r="D126" s="116" t="s">
        <v>143</v>
      </c>
      <c r="E126" s="170">
        <v>50</v>
      </c>
      <c r="F126" s="129" t="s">
        <v>137</v>
      </c>
      <c r="G126" s="110"/>
      <c r="H126" s="34"/>
      <c r="I126" s="34"/>
      <c r="J126" s="98"/>
      <c r="K126" s="34"/>
      <c r="L126" s="34"/>
      <c r="M126" s="34"/>
      <c r="N126" s="34"/>
      <c r="O126" s="34"/>
      <c r="P126" s="255"/>
    </row>
    <row r="127" spans="1:16" s="2" customFormat="1" ht="15" customHeight="1" x14ac:dyDescent="0.25">
      <c r="A127" s="34"/>
      <c r="B127" s="194" t="s">
        <v>147</v>
      </c>
      <c r="C127" s="43" t="s">
        <v>144</v>
      </c>
      <c r="D127" s="43" t="s">
        <v>133</v>
      </c>
      <c r="E127" s="130">
        <f>E124/E126*100</f>
        <v>130.3477463800543</v>
      </c>
      <c r="F127" s="131"/>
      <c r="G127" s="110"/>
      <c r="H127" s="34"/>
      <c r="I127" s="34"/>
      <c r="J127" s="98"/>
      <c r="K127" s="34"/>
      <c r="L127" s="34"/>
      <c r="M127" s="34"/>
      <c r="N127" s="34"/>
      <c r="O127" s="34"/>
      <c r="P127" s="255"/>
    </row>
    <row r="128" spans="1:16" s="2" customFormat="1" ht="32.1" customHeight="1" x14ac:dyDescent="0.25">
      <c r="A128" s="34"/>
      <c r="B128" s="128"/>
      <c r="C128" s="35"/>
      <c r="D128" s="35"/>
      <c r="E128" s="81"/>
      <c r="F128" s="131"/>
      <c r="G128" s="110"/>
      <c r="H128" s="34"/>
      <c r="I128" s="34"/>
      <c r="J128" s="98"/>
      <c r="K128" s="34"/>
      <c r="L128" s="34"/>
      <c r="M128" s="34"/>
      <c r="N128" s="34"/>
      <c r="O128" s="34"/>
      <c r="P128" s="255"/>
    </row>
    <row r="129" spans="1:16" s="2" customFormat="1" ht="32.1" customHeight="1" x14ac:dyDescent="0.25">
      <c r="A129" s="34"/>
      <c r="B129" s="185" t="s">
        <v>190</v>
      </c>
      <c r="C129" s="35"/>
      <c r="D129" s="35"/>
      <c r="E129" s="81"/>
      <c r="F129" s="131"/>
      <c r="G129" s="110"/>
      <c r="H129" s="34"/>
      <c r="I129" s="34"/>
      <c r="J129" s="98"/>
      <c r="K129" s="34"/>
      <c r="L129" s="34"/>
      <c r="M129" s="34"/>
      <c r="N129" s="34"/>
      <c r="O129" s="34"/>
      <c r="P129" s="255"/>
    </row>
    <row r="130" spans="1:16" s="2" customFormat="1" ht="15.9" customHeight="1" x14ac:dyDescent="0.25">
      <c r="A130" s="34"/>
      <c r="B130" s="45"/>
      <c r="C130" s="4" t="s">
        <v>8</v>
      </c>
      <c r="D130" s="54" t="s">
        <v>42</v>
      </c>
      <c r="E130" s="4" t="s">
        <v>43</v>
      </c>
      <c r="F130" s="34"/>
      <c r="G130" s="34"/>
      <c r="H130" s="34"/>
      <c r="I130" s="34"/>
      <c r="J130" s="98"/>
      <c r="K130" s="34"/>
      <c r="L130" s="34"/>
      <c r="M130" s="34"/>
      <c r="N130" s="34"/>
      <c r="O130" s="34"/>
      <c r="P130" s="255"/>
    </row>
    <row r="131" spans="1:16" s="2" customFormat="1" ht="24" customHeight="1" x14ac:dyDescent="0.25">
      <c r="A131" s="34"/>
      <c r="B131" s="191" t="s">
        <v>117</v>
      </c>
      <c r="C131" s="187"/>
      <c r="D131" s="187"/>
      <c r="E131" s="188">
        <f>E97/(E107+E114+E118)</f>
        <v>13.643139465910357</v>
      </c>
      <c r="F131" s="34"/>
      <c r="G131" s="34"/>
      <c r="H131" s="36"/>
      <c r="I131" s="34"/>
      <c r="J131" s="34"/>
      <c r="K131" s="34"/>
      <c r="L131" s="34"/>
      <c r="M131" s="34"/>
      <c r="N131" s="34"/>
      <c r="O131" s="34"/>
      <c r="P131" s="255"/>
    </row>
    <row r="132" spans="1:16" s="2" customFormat="1" ht="24" customHeight="1" x14ac:dyDescent="0.25">
      <c r="A132" s="34"/>
      <c r="B132" s="192" t="s">
        <v>118</v>
      </c>
      <c r="C132" s="184" t="s">
        <v>191</v>
      </c>
      <c r="D132" s="189" t="s">
        <v>87</v>
      </c>
      <c r="E132" s="183">
        <f>- DEGREES(ATAN((E107+E114+E118)/E97))</f>
        <v>-4.1921071863739083</v>
      </c>
      <c r="F132" s="42"/>
      <c r="G132" s="42"/>
      <c r="H132" s="42"/>
      <c r="I132" s="42"/>
      <c r="J132" s="42"/>
      <c r="K132" s="34"/>
      <c r="L132" s="34"/>
      <c r="M132" s="34"/>
      <c r="N132" s="34"/>
      <c r="O132" s="34"/>
      <c r="P132" s="255"/>
    </row>
    <row r="133" spans="1:16" s="2" customFormat="1" ht="15.9" customHeight="1" x14ac:dyDescent="0.25">
      <c r="A133" s="34"/>
      <c r="B133" s="258" t="s">
        <v>228</v>
      </c>
      <c r="C133" s="260" t="s">
        <v>192</v>
      </c>
      <c r="D133" s="263" t="s">
        <v>87</v>
      </c>
      <c r="E133" s="262">
        <f>DEGREES(ATAN(E120/E101))</f>
        <v>2.5951362442991228</v>
      </c>
      <c r="F133" s="202" t="s">
        <v>198</v>
      </c>
      <c r="G133" s="203">
        <f>E102</f>
        <v>1.0006139145829578</v>
      </c>
      <c r="H133" s="268" t="s">
        <v>206</v>
      </c>
      <c r="I133" s="268"/>
      <c r="J133" s="268"/>
      <c r="K133" s="268"/>
      <c r="L133" s="268"/>
      <c r="M133" s="34"/>
      <c r="N133" s="34"/>
      <c r="O133" s="34"/>
      <c r="P133" s="255"/>
    </row>
    <row r="134" spans="1:16" s="2" customFormat="1" ht="15.9" customHeight="1" x14ac:dyDescent="0.25">
      <c r="A134" s="34"/>
      <c r="B134" s="259"/>
      <c r="C134" s="261"/>
      <c r="D134" s="261"/>
      <c r="E134" s="261"/>
      <c r="F134" s="269" t="str">
        <f>IF(E102&lt;0.99,"too small",IF(E102&gt;1.01," too big",""))</f>
        <v/>
      </c>
      <c r="G134" s="270"/>
      <c r="H134" s="268" t="s">
        <v>207</v>
      </c>
      <c r="I134" s="268"/>
      <c r="J134" s="268"/>
      <c r="K134" s="268"/>
      <c r="L134" s="268"/>
      <c r="M134" s="210"/>
      <c r="N134" s="34"/>
      <c r="O134" s="34"/>
      <c r="P134" s="115"/>
    </row>
    <row r="135" spans="1:16" s="2" customFormat="1" ht="15.9" customHeight="1" x14ac:dyDescent="0.25">
      <c r="A135" s="34"/>
      <c r="B135" s="113"/>
      <c r="C135" s="29"/>
      <c r="D135" s="115"/>
      <c r="E135" s="114"/>
      <c r="F135" s="202"/>
      <c r="G135" s="203"/>
      <c r="H135" s="204"/>
      <c r="I135" s="98"/>
      <c r="J135" s="98"/>
      <c r="K135" s="34"/>
      <c r="L135" s="34"/>
      <c r="M135" s="34"/>
      <c r="N135" s="34"/>
      <c r="O135" s="34"/>
      <c r="P135" s="115"/>
    </row>
    <row r="136" spans="1:16" ht="15.9" customHeight="1" x14ac:dyDescent="0.25">
      <c r="A136" s="205"/>
      <c r="B136" s="206"/>
      <c r="C136" s="205"/>
      <c r="D136" s="205"/>
      <c r="E136" s="10"/>
      <c r="F136" s="10"/>
      <c r="G136" s="10"/>
      <c r="H136" s="10"/>
      <c r="I136" s="10"/>
      <c r="J136" s="10"/>
      <c r="K136" s="10"/>
      <c r="L136" s="10"/>
      <c r="M136" s="10"/>
      <c r="N136" s="10"/>
      <c r="O136" s="10"/>
      <c r="P136" s="10"/>
    </row>
  </sheetData>
  <sheetProtection sheet="1" objects="1" scenarios="1" formatCells="0" formatColumns="0" formatRows="0" insertColumns="0" insertRows="0" insertHyperlinks="0" deleteColumns="0" deleteRows="0" sort="0" autoFilter="0" pivotTables="0"/>
  <mergeCells count="11">
    <mergeCell ref="B133:B134"/>
    <mergeCell ref="C133:C134"/>
    <mergeCell ref="E133:E134"/>
    <mergeCell ref="D133:D134"/>
    <mergeCell ref="K33:O33"/>
    <mergeCell ref="K66:O66"/>
    <mergeCell ref="H134:L134"/>
    <mergeCell ref="F134:G134"/>
    <mergeCell ref="H133:L133"/>
    <mergeCell ref="F70:L70"/>
    <mergeCell ref="F101:O101"/>
  </mergeCells>
  <phoneticPr fontId="10" type="noConversion"/>
  <printOptions horizontalCentered="1"/>
  <pageMargins left="0.27559055118110237" right="0.47244094488188981" top="0.87" bottom="0.59055118110236227" header="0.47244094488188981" footer="0.31496062992125984"/>
  <pageSetup paperSize="9" scale="91" fitToHeight="2" orientation="landscape" useFirstPageNumber="1" horizontalDpi="4294967293" verticalDpi="300" r:id="rId1"/>
  <headerFooter alignWithMargins="0">
    <oddHeader>&amp;L&amp;9Version 5.0&amp;C&amp;11 &amp;"Arial,Fett"&amp;14Twisting of the flapping wing in the middle of the stroke&amp;R&amp;"Arial,Fett"&amp;16Orni 1</oddHeader>
    <oddFooter>&amp;L&amp;9© Horst Räbiger, Nürnberg 2002&amp;CB-&amp;P</oddFooter>
  </headerFooter>
  <rowBreaks count="3" manualBreakCount="3">
    <brk id="33" max="16383" man="1"/>
    <brk id="66" max="16383" man="1"/>
    <brk id="94" max="16383" man="1"/>
  </rowBreaks>
  <ignoredErrors>
    <ignoredError sqref="E114" unlockedFormula="1"/>
    <ignoredError sqref="P35:P39 P50:P53 P64 P77 P79" twoDigitTextYear="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Arbeitsblätter</vt:lpstr>
      </vt:variant>
      <vt:variant>
        <vt:i4>2</vt:i4>
      </vt:variant>
      <vt:variant>
        <vt:lpstr>Diagramme</vt:lpstr>
      </vt:variant>
      <vt:variant>
        <vt:i4>3</vt:i4>
      </vt:variant>
      <vt:variant>
        <vt:lpstr>Benannte Bereiche</vt:lpstr>
      </vt:variant>
      <vt:variant>
        <vt:i4>2</vt:i4>
      </vt:variant>
    </vt:vector>
  </HeadingPairs>
  <TitlesOfParts>
    <vt:vector size="7" baseType="lpstr">
      <vt:lpstr>Instruction</vt:lpstr>
      <vt:lpstr>Spreadsheet</vt:lpstr>
      <vt:lpstr>lift coefficient</vt:lpstr>
      <vt:lpstr>down wind</vt:lpstr>
      <vt:lpstr>angle of incidence</vt:lpstr>
      <vt:lpstr>Instruction!Druckbereich</vt:lpstr>
      <vt:lpstr>Spreadsheet!Druckbereich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Calculation tool "Orni 1"</dc:title>
  <dc:subject>Calculation of flapping wings</dc:subject>
  <dc:creator>Räbiger Horst</dc:creator>
  <cp:keywords>flapping wing, gliding, upstroke, downstroke, power flight, wing twisting, force balance</cp:keywords>
  <cp:lastModifiedBy>Horst Räbiger</cp:lastModifiedBy>
  <cp:lastPrinted>2015-02-18T05:01:28Z</cp:lastPrinted>
  <dcterms:created xsi:type="dcterms:W3CDTF">1999-08-01T09:23:37Z</dcterms:created>
  <dcterms:modified xsi:type="dcterms:W3CDTF">2017-11-16T08:06:05Z</dcterms:modified>
</cp:coreProperties>
</file>