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Free Project's\"/>
    </mc:Choice>
  </mc:AlternateContent>
  <xr:revisionPtr revIDLastSave="0" documentId="13_ncr:1_{866B30C3-CAC4-468A-9C43-34E64540F734}" xr6:coauthVersionLast="47" xr6:coauthVersionMax="47" xr10:uidLastSave="{00000000-0000-0000-0000-000000000000}"/>
  <bookViews>
    <workbookView xWindow="-120" yWindow="-120" windowWidth="21840" windowHeight="13140" activeTab="2" xr2:uid="{C666F3D8-4E44-CE4A-9EC9-D454F56F68ED}"/>
  </bookViews>
  <sheets>
    <sheet name="Data" sheetId="1" r:id="rId1"/>
    <sheet name="Formulas" sheetId="3" r:id="rId2"/>
    <sheet name="Dashboar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3" l="1"/>
  <c r="AT8" i="3"/>
  <c r="AT7" i="3"/>
  <c r="AT6" i="3"/>
  <c r="AS8" i="3"/>
  <c r="AS7" i="3"/>
  <c r="AS6" i="3"/>
  <c r="AQ7" i="3"/>
  <c r="AR7" i="3" s="1"/>
  <c r="AG6" i="3"/>
  <c r="X5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S19" i="3"/>
  <c r="U19" i="3" s="1"/>
  <c r="S18" i="3"/>
  <c r="U18" i="3" s="1"/>
  <c r="S17" i="3"/>
  <c r="U17" i="3" s="1"/>
  <c r="S16" i="3"/>
  <c r="U16" i="3" s="1"/>
  <c r="S15" i="3"/>
  <c r="U15" i="3" s="1"/>
  <c r="S14" i="3"/>
  <c r="U14" i="3" s="1"/>
  <c r="S13" i="3"/>
  <c r="U13" i="3" s="1"/>
  <c r="S12" i="3"/>
  <c r="U12" i="3" s="1"/>
  <c r="S11" i="3"/>
  <c r="U11" i="3" s="1"/>
  <c r="S10" i="3"/>
  <c r="U10" i="3" s="1"/>
  <c r="S6" i="3"/>
  <c r="U6" i="3" s="1"/>
  <c r="S9" i="3"/>
  <c r="U9" i="3" s="1"/>
  <c r="S8" i="3"/>
  <c r="U8" i="3" s="1"/>
  <c r="S7" i="3"/>
  <c r="U7" i="3" s="1"/>
  <c r="S5" i="3"/>
  <c r="U5" i="3" s="1"/>
  <c r="K11" i="3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Z5" i="3" l="1"/>
  <c r="K15" i="3"/>
  <c r="K12" i="3"/>
  <c r="K14" i="3"/>
  <c r="K13" i="3"/>
  <c r="K7" i="3"/>
  <c r="K10" i="3"/>
  <c r="K8" i="3"/>
  <c r="K9" i="3"/>
  <c r="Z7" i="3" l="1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6" i="3"/>
  <c r="AE7" i="3" s="1"/>
  <c r="AE10" i="3" l="1"/>
  <c r="AE9" i="3"/>
  <c r="AE8" i="3"/>
  <c r="AE6" i="3" s="1"/>
</calcChain>
</file>

<file path=xl/sharedStrings.xml><?xml version="1.0" encoding="utf-8"?>
<sst xmlns="http://schemas.openxmlformats.org/spreadsheetml/2006/main" count="62" uniqueCount="50">
  <si>
    <t>Week Number</t>
  </si>
  <si>
    <t>Purchases Items 2019</t>
  </si>
  <si>
    <t>Purchases Items 2020</t>
  </si>
  <si>
    <t>Purchases Items 2021</t>
  </si>
  <si>
    <t>Purchases Items 2022</t>
  </si>
  <si>
    <t>Purchases Items 2023</t>
  </si>
  <si>
    <t>Sales 2019</t>
  </si>
  <si>
    <t>Sales 2020</t>
  </si>
  <si>
    <t>Sales 2021</t>
  </si>
  <si>
    <t>Sales 2022</t>
  </si>
  <si>
    <t>Sales 2023</t>
  </si>
  <si>
    <t>Final Profits 2019</t>
  </si>
  <si>
    <t>Final Profits 2020</t>
  </si>
  <si>
    <t>Final Profits 2021</t>
  </si>
  <si>
    <t>Final Profits 2022</t>
  </si>
  <si>
    <t>Final Profits 2023</t>
  </si>
  <si>
    <t>Year</t>
  </si>
  <si>
    <t>Purchases Items</t>
  </si>
  <si>
    <t>Purchases Returns Rate</t>
  </si>
  <si>
    <t>Total Sales</t>
  </si>
  <si>
    <t>Sales Branches</t>
  </si>
  <si>
    <t>Sales Representatives</t>
  </si>
  <si>
    <t>Final Profits</t>
  </si>
  <si>
    <t>Operating Costs</t>
  </si>
  <si>
    <t>VAT</t>
  </si>
  <si>
    <t>Total</t>
  </si>
  <si>
    <t>Spinner Year</t>
  </si>
  <si>
    <t>Value</t>
  </si>
  <si>
    <t>Years</t>
  </si>
  <si>
    <t xml:space="preserve">Data </t>
  </si>
  <si>
    <t xml:space="preserve">Value </t>
  </si>
  <si>
    <t>Option Button</t>
  </si>
  <si>
    <t>Option Button Value</t>
  </si>
  <si>
    <t>Data Table Header Names</t>
  </si>
  <si>
    <t>Combine (Years &amp; Option Button Values)</t>
  </si>
  <si>
    <r>
      <t xml:space="preserve">Spinner and </t>
    </r>
    <r>
      <rPr>
        <b/>
        <sz val="16"/>
        <color rgb="FF66FF33"/>
        <rFont val="Calibri"/>
        <family val="2"/>
        <scheme val="minor"/>
      </rPr>
      <t>Option Button</t>
    </r>
  </si>
  <si>
    <r>
      <t xml:space="preserve">Line Chart </t>
    </r>
    <r>
      <rPr>
        <b/>
        <sz val="16"/>
        <color rgb="FF66FF33"/>
        <rFont val="Calibri"/>
        <family val="2"/>
        <scheme val="minor"/>
      </rPr>
      <t>Data Source</t>
    </r>
    <r>
      <rPr>
        <b/>
        <sz val="14"/>
        <color theme="1"/>
        <rFont val="Calibri"/>
        <family val="2"/>
        <scheme val="minor"/>
      </rPr>
      <t xml:space="preserve">  </t>
    </r>
  </si>
  <si>
    <t xml:space="preserve">Week Number </t>
  </si>
  <si>
    <t>Results By Quarters</t>
  </si>
  <si>
    <t>Current all-time Value</t>
  </si>
  <si>
    <t>First Quarter</t>
  </si>
  <si>
    <t>Second Quarter</t>
  </si>
  <si>
    <t>Third Quarter</t>
  </si>
  <si>
    <t>Fourth Quarter</t>
  </si>
  <si>
    <t>Line Chart Title</t>
  </si>
  <si>
    <t>The Title based on Option Button selection</t>
  </si>
  <si>
    <t>purchases Items by week</t>
  </si>
  <si>
    <t>Sales by week</t>
  </si>
  <si>
    <t>profits by week</t>
  </si>
  <si>
    <t>Final Profite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</si>
</sst>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Helvetice"/>
    </font>
    <font>
      <sz val="12"/>
      <color theme="1"/>
      <name val="Helvetice"/>
    </font>
    <font>
      <sz val="12"/>
      <color theme="0" tint="-0.499984740745262"/>
      <name val="Helvetice"/>
    </font>
    <font>
      <b/>
      <sz val="9"/>
      <color theme="0"/>
      <name val="Helvetice"/>
    </font>
    <font>
      <sz val="9"/>
      <color theme="1"/>
      <name val="Helvetice"/>
    </font>
    <font>
      <b/>
      <sz val="9"/>
      <color rgb="FF00FFFF"/>
      <name val="Helvetice"/>
    </font>
    <font>
      <b/>
      <sz val="12"/>
      <color rgb="FF00FFFF"/>
      <name val="Helvetice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66FF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66FF33"/>
      <name val="Calibri"/>
      <family val="2"/>
      <scheme val="minor"/>
    </font>
    <font>
      <b/>
      <sz val="18"/>
      <color rgb="FF22C2D8"/>
      <name val="Calibri"/>
      <family val="2"/>
      <scheme val="minor"/>
    </font>
    <font>
      <sz val="24"/>
      <color rgb="FF000000"/>
      <name val="Calibri"/>
      <family val="2"/>
      <scheme val="minor"/>
    </font>
    <font>
      <b/>
      <sz val="20"/>
      <color rgb="FF000066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2"/>
      <color rgb="FF22C2D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4"/>
      <color rgb="FF003399"/>
      <name val="Calibri"/>
      <family val="2"/>
      <scheme val="minor"/>
    </font>
    <font>
      <b/>
      <sz val="20"/>
      <color rgb="FF003366"/>
      <name val="Calibri"/>
      <family val="2"/>
      <scheme val="minor"/>
    </font>
    <font>
      <b/>
      <sz val="22"/>
      <color rgb="FF000000"/>
      <name val="Calibri Light"/>
      <family val="2"/>
    </font>
    <font>
      <b/>
      <sz val="22"/>
      <color theme="1"/>
      <name val="Calibri"/>
      <family val="2"/>
      <scheme val="minor"/>
    </font>
    <font>
      <sz val="12"/>
      <color rgb="FF003366"/>
      <name val="Calibri"/>
      <family val="2"/>
      <scheme val="minor"/>
    </font>
    <font>
      <sz val="12"/>
      <color rgb="FF003366"/>
      <name val="Helvetice"/>
    </font>
  </fonts>
  <fills count="1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273FB1"/>
        <bgColor indexed="64"/>
      </patternFill>
    </fill>
    <fill>
      <patternFill patternType="solid">
        <fgColor rgb="FF1A2E8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22C2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1A2E87"/>
      </bottom>
      <diagonal/>
    </border>
    <border>
      <left style="thin">
        <color rgb="FF1A2E87"/>
      </left>
      <right/>
      <top/>
      <bottom/>
      <diagonal/>
    </border>
    <border>
      <left style="thin">
        <color rgb="FF1A2E87"/>
      </left>
      <right style="thin">
        <color rgb="FF1A2E87"/>
      </right>
      <top/>
      <bottom/>
      <diagonal/>
    </border>
    <border>
      <left style="thin">
        <color rgb="FF1A2E87"/>
      </left>
      <right style="thin">
        <color rgb="FF1A2E87"/>
      </right>
      <top style="thin">
        <color rgb="FF1A2E87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 tint="0.499984740745262"/>
      </right>
      <top style="thin">
        <color theme="1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/>
      <right style="mediumDashed">
        <color theme="1" tint="0.499984740745262"/>
      </right>
      <top/>
      <bottom/>
      <diagonal/>
    </border>
    <border>
      <left/>
      <right/>
      <top/>
      <bottom style="mediumDashed">
        <color theme="1" tint="0.499984740745262"/>
      </bottom>
      <diagonal/>
    </border>
    <border>
      <left style="mediumDashed">
        <color theme="1" tint="0.499984740745262"/>
      </left>
      <right style="mediumDashed">
        <color theme="1" tint="0.499984740745262"/>
      </right>
      <top/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/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mediumDashed">
        <color theme="1" tint="0.499984740745262"/>
      </left>
      <right/>
      <top style="mediumDashed">
        <color theme="1" tint="0.499984740745262"/>
      </top>
      <bottom/>
      <diagonal/>
    </border>
    <border>
      <left style="mediumDashed">
        <color theme="1" tint="0.499984740745262"/>
      </left>
      <right/>
      <top/>
      <bottom/>
      <diagonal/>
    </border>
    <border>
      <left style="mediumDashed">
        <color theme="1" tint="0.499984740745262"/>
      </left>
      <right/>
      <top style="mediumDashed">
        <color theme="1" tint="0.499984740745262"/>
      </top>
      <bottom style="mediumDashed">
        <color theme="1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3" fillId="0" borderId="0" xfId="0" applyFont="1" applyAlignment="1" applyProtection="1">
      <alignment horizontal="center" vertical="center" wrapText="1"/>
      <protection locked="0"/>
    </xf>
    <xf numFmtId="3" fontId="3" fillId="3" borderId="1" xfId="0" applyNumberFormat="1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3" fontId="4" fillId="0" borderId="0" xfId="0" applyNumberFormat="1" applyFont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/>
    <xf numFmtId="0" fontId="6" fillId="5" borderId="0" xfId="0" applyFont="1" applyFill="1"/>
    <xf numFmtId="0" fontId="3" fillId="6" borderId="0" xfId="0" applyFont="1" applyFill="1"/>
    <xf numFmtId="0" fontId="2" fillId="7" borderId="0" xfId="0" applyFont="1" applyFill="1" applyAlignment="1" applyProtection="1">
      <alignment horizontal="center" vertical="center" wrapText="1"/>
      <protection locked="0"/>
    </xf>
    <xf numFmtId="3" fontId="2" fillId="7" borderId="0" xfId="0" applyNumberFormat="1" applyFont="1" applyFill="1" applyAlignment="1" applyProtection="1">
      <alignment horizontal="center" vertical="center" wrapText="1"/>
      <protection locked="0"/>
    </xf>
    <xf numFmtId="3" fontId="4" fillId="6" borderId="0" xfId="0" applyNumberFormat="1" applyFont="1" applyFill="1" applyAlignment="1" applyProtection="1">
      <alignment horizontal="center" vertical="center" wrapText="1"/>
      <protection locked="0"/>
    </xf>
    <xf numFmtId="3" fontId="2" fillId="6" borderId="0" xfId="0" applyNumberFormat="1" applyFont="1" applyFill="1" applyAlignment="1" applyProtection="1">
      <alignment horizontal="center" vertical="center" wrapText="1"/>
      <protection locked="0"/>
    </xf>
    <xf numFmtId="0" fontId="3" fillId="4" borderId="2" xfId="0" applyFont="1" applyFill="1" applyBorder="1"/>
    <xf numFmtId="0" fontId="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right" vertical="center"/>
    </xf>
    <xf numFmtId="3" fontId="2" fillId="4" borderId="0" xfId="0" applyNumberFormat="1" applyFont="1" applyFill="1" applyAlignment="1">
      <alignment horizontal="center" vertical="center"/>
    </xf>
    <xf numFmtId="9" fontId="2" fillId="4" borderId="0" xfId="1" applyFont="1" applyFill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0" fillId="8" borderId="0" xfId="0" applyFill="1"/>
    <xf numFmtId="0" fontId="10" fillId="9" borderId="0" xfId="0" applyFont="1" applyFill="1"/>
    <xf numFmtId="0" fontId="12" fillId="8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 wrapText="1"/>
    </xf>
    <xf numFmtId="0" fontId="0" fillId="8" borderId="17" xfId="0" applyFill="1" applyBorder="1"/>
    <xf numFmtId="0" fontId="0" fillId="8" borderId="14" xfId="0" applyFill="1" applyBorder="1"/>
    <xf numFmtId="0" fontId="0" fillId="8" borderId="18" xfId="0" applyFill="1" applyBorder="1"/>
    <xf numFmtId="0" fontId="0" fillId="8" borderId="19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4" xfId="0" applyFill="1" applyBorder="1"/>
    <xf numFmtId="0" fontId="17" fillId="8" borderId="0" xfId="0" applyFont="1" applyFill="1" applyAlignment="1">
      <alignment horizontal="center" vertical="center" wrapText="1" readingOrder="1"/>
    </xf>
    <xf numFmtId="0" fontId="9" fillId="8" borderId="0" xfId="0" applyFont="1" applyFill="1" applyAlignment="1">
      <alignment horizontal="center" vertical="center" wrapText="1" readingOrder="1"/>
    </xf>
    <xf numFmtId="0" fontId="9" fillId="8" borderId="15" xfId="0" applyFont="1" applyFill="1" applyBorder="1" applyAlignment="1">
      <alignment horizontal="center" vertical="center" wrapText="1"/>
    </xf>
    <xf numFmtId="0" fontId="17" fillId="14" borderId="21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8" borderId="25" xfId="0" applyFill="1" applyBorder="1"/>
    <xf numFmtId="0" fontId="20" fillId="0" borderId="0" xfId="0" applyFont="1" applyAlignment="1">
      <alignment horizontal="left" vertical="center"/>
    </xf>
    <xf numFmtId="0" fontId="17" fillId="0" borderId="26" xfId="0" applyFont="1" applyBorder="1" applyAlignment="1">
      <alignment horizontal="center" vertical="center" wrapText="1"/>
    </xf>
    <xf numFmtId="0" fontId="13" fillId="8" borderId="20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left" vertical="center"/>
    </xf>
    <xf numFmtId="0" fontId="0" fillId="8" borderId="26" xfId="0" applyFill="1" applyBorder="1"/>
    <xf numFmtId="0" fontId="17" fillId="0" borderId="20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22" fillId="8" borderId="29" xfId="0" applyFont="1" applyFill="1" applyBorder="1" applyAlignment="1">
      <alignment horizontal="center" vertical="center"/>
    </xf>
    <xf numFmtId="0" fontId="21" fillId="8" borderId="30" xfId="0" applyFont="1" applyFill="1" applyBorder="1" applyAlignment="1">
      <alignment horizontal="center" vertical="center"/>
    </xf>
    <xf numFmtId="0" fontId="21" fillId="8" borderId="3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8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left" vertical="center"/>
    </xf>
    <xf numFmtId="0" fontId="26" fillId="8" borderId="0" xfId="0" applyFont="1" applyFill="1" applyAlignment="1">
      <alignment horizontal="center" vertical="center"/>
    </xf>
    <xf numFmtId="0" fontId="0" fillId="8" borderId="32" xfId="0" applyFill="1" applyBorder="1"/>
    <xf numFmtId="0" fontId="0" fillId="8" borderId="33" xfId="0" applyFill="1" applyBorder="1"/>
    <xf numFmtId="0" fontId="27" fillId="0" borderId="35" xfId="0" applyFont="1" applyBorder="1" applyAlignment="1">
      <alignment horizontal="left" vertical="center"/>
    </xf>
    <xf numFmtId="0" fontId="28" fillId="8" borderId="34" xfId="0" applyFont="1" applyFill="1" applyBorder="1" applyAlignment="1">
      <alignment horizontal="center" vertical="center"/>
    </xf>
    <xf numFmtId="0" fontId="28" fillId="8" borderId="34" xfId="0" applyFont="1" applyFill="1" applyBorder="1"/>
    <xf numFmtId="164" fontId="28" fillId="8" borderId="32" xfId="2" applyNumberFormat="1" applyFont="1" applyFill="1" applyBorder="1" applyAlignment="1">
      <alignment horizontal="center" vertical="center"/>
    </xf>
    <xf numFmtId="0" fontId="28" fillId="8" borderId="36" xfId="0" applyFont="1" applyFill="1" applyBorder="1" applyAlignment="1">
      <alignment horizontal="left" vertical="center" indent="1"/>
    </xf>
    <xf numFmtId="0" fontId="29" fillId="4" borderId="0" xfId="0" applyFont="1" applyFill="1" applyAlignment="1">
      <alignment horizontal="center" vertical="center"/>
    </xf>
    <xf numFmtId="0" fontId="28" fillId="8" borderId="32" xfId="0" applyFont="1" applyFill="1" applyBorder="1" applyAlignment="1">
      <alignment vertical="center"/>
    </xf>
    <xf numFmtId="0" fontId="28" fillId="8" borderId="32" xfId="0" applyFont="1" applyFill="1" applyBorder="1"/>
    <xf numFmtId="0" fontId="28" fillId="8" borderId="38" xfId="0" applyFont="1" applyFill="1" applyBorder="1" applyAlignment="1">
      <alignment horizontal="center" vertical="center"/>
    </xf>
    <xf numFmtId="0" fontId="28" fillId="8" borderId="38" xfId="0" applyFont="1" applyFill="1" applyBorder="1" applyAlignment="1">
      <alignment vertical="center"/>
    </xf>
    <xf numFmtId="0" fontId="28" fillId="8" borderId="38" xfId="0" applyFont="1" applyFill="1" applyBorder="1"/>
    <xf numFmtId="0" fontId="27" fillId="0" borderId="36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9" fontId="28" fillId="8" borderId="38" xfId="1" applyFont="1" applyFill="1" applyBorder="1" applyAlignment="1">
      <alignment horizontal="right" vertical="center"/>
    </xf>
    <xf numFmtId="164" fontId="28" fillId="8" borderId="37" xfId="2" applyNumberFormat="1" applyFont="1" applyFill="1" applyBorder="1" applyAlignment="1">
      <alignment vertical="center"/>
    </xf>
    <xf numFmtId="9" fontId="28" fillId="8" borderId="32" xfId="0" applyNumberFormat="1" applyFont="1" applyFill="1" applyBorder="1" applyAlignment="1">
      <alignment horizontal="right" vertical="center"/>
    </xf>
    <xf numFmtId="164" fontId="28" fillId="8" borderId="34" xfId="2" applyNumberFormat="1" applyFont="1" applyFill="1" applyBorder="1" applyAlignment="1">
      <alignment horizontal="right" vertical="center"/>
    </xf>
    <xf numFmtId="9" fontId="28" fillId="8" borderId="34" xfId="1" applyFont="1" applyFill="1" applyBorder="1" applyAlignment="1">
      <alignment horizontal="right" vertical="center"/>
    </xf>
    <xf numFmtId="0" fontId="3" fillId="15" borderId="0" xfId="0" applyFont="1" applyFill="1" applyAlignment="1" applyProtection="1">
      <alignment horizontal="center" vertical="center" wrapText="1"/>
      <protection locked="0"/>
    </xf>
    <xf numFmtId="3" fontId="4" fillId="15" borderId="0" xfId="0" applyNumberFormat="1" applyFont="1" applyFill="1" applyAlignment="1" applyProtection="1">
      <alignment horizontal="center" vertical="center" wrapText="1"/>
      <protection locked="0"/>
    </xf>
    <xf numFmtId="0" fontId="2" fillId="15" borderId="0" xfId="0" applyFont="1" applyFill="1" applyAlignment="1" applyProtection="1">
      <alignment horizontal="center" vertical="center" wrapText="1"/>
      <protection locked="0"/>
    </xf>
    <xf numFmtId="3" fontId="2" fillId="15" borderId="0" xfId="0" applyNumberFormat="1" applyFont="1" applyFill="1" applyAlignment="1" applyProtection="1">
      <alignment horizontal="center" vertical="center" wrapText="1"/>
      <protection locked="0"/>
    </xf>
    <xf numFmtId="0" fontId="30" fillId="8" borderId="0" xfId="0" applyFont="1" applyFill="1" applyAlignment="1" applyProtection="1">
      <alignment horizontal="center" vertical="center" wrapText="1"/>
      <protection locked="0"/>
    </xf>
    <xf numFmtId="3" fontId="30" fillId="8" borderId="0" xfId="0" applyNumberFormat="1" applyFont="1" applyFill="1" applyAlignment="1" applyProtection="1">
      <alignment horizontal="center" vertical="center" wrapText="1"/>
      <protection locked="0"/>
    </xf>
    <xf numFmtId="0" fontId="0" fillId="13" borderId="0" xfId="0" applyFill="1"/>
    <xf numFmtId="0" fontId="0" fillId="15" borderId="0" xfId="0" applyFill="1"/>
  </cellXfs>
  <cellStyles count="3">
    <cellStyle name="Comma" xfId="2" builtinId="3"/>
    <cellStyle name="Normal" xfId="0" builtinId="0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66FF3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e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2"/>
        <color theme="0"/>
        <name val="Helvetice"/>
        <scheme val="none"/>
      </font>
      <fill>
        <patternFill patternType="solid">
          <fgColor indexed="64"/>
          <bgColor rgb="FF22C2D8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e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Helvetice"/>
        <scheme val="none"/>
      </font>
      <fill>
        <patternFill patternType="solid">
          <fgColor indexed="64"/>
          <bgColor rgb="FF273FB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273FB1"/>
        </left>
        <right style="thin">
          <color rgb="FF273FB1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273FB1"/>
      <color rgb="FFF0F0F0"/>
      <color rgb="FF003366"/>
      <color rgb="FF1A2E87"/>
      <color rgb="FF000066"/>
      <color rgb="FF22C2D8"/>
      <color rgb="FF00FFFF"/>
      <color rgb="FF003399"/>
      <color rgb="FF66FF33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Formulas!$Z$5</c:f>
              <c:strCache>
                <c:ptCount val="1"/>
                <c:pt idx="0">
                  <c:v>Purchases Items 2023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Formulas!$Y$6:$Y$57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Formulas!$Z$6:$Z$57</c:f>
              <c:numCache>
                <c:formatCode>General</c:formatCode>
                <c:ptCount val="52"/>
                <c:pt idx="0">
                  <c:v>470</c:v>
                </c:pt>
                <c:pt idx="1">
                  <c:v>402</c:v>
                </c:pt>
                <c:pt idx="2">
                  <c:v>496</c:v>
                </c:pt>
                <c:pt idx="3">
                  <c:v>856</c:v>
                </c:pt>
                <c:pt idx="4">
                  <c:v>888</c:v>
                </c:pt>
                <c:pt idx="5">
                  <c:v>406</c:v>
                </c:pt>
                <c:pt idx="6">
                  <c:v>567</c:v>
                </c:pt>
                <c:pt idx="7">
                  <c:v>993</c:v>
                </c:pt>
                <c:pt idx="8">
                  <c:v>327</c:v>
                </c:pt>
                <c:pt idx="9">
                  <c:v>462</c:v>
                </c:pt>
                <c:pt idx="10">
                  <c:v>200</c:v>
                </c:pt>
                <c:pt idx="11">
                  <c:v>384</c:v>
                </c:pt>
                <c:pt idx="12">
                  <c:v>818</c:v>
                </c:pt>
                <c:pt idx="13">
                  <c:v>622</c:v>
                </c:pt>
                <c:pt idx="14">
                  <c:v>438</c:v>
                </c:pt>
                <c:pt idx="15">
                  <c:v>967</c:v>
                </c:pt>
                <c:pt idx="16">
                  <c:v>543</c:v>
                </c:pt>
                <c:pt idx="17">
                  <c:v>545</c:v>
                </c:pt>
                <c:pt idx="18">
                  <c:v>638</c:v>
                </c:pt>
                <c:pt idx="19">
                  <c:v>317</c:v>
                </c:pt>
                <c:pt idx="20">
                  <c:v>939</c:v>
                </c:pt>
                <c:pt idx="21">
                  <c:v>826</c:v>
                </c:pt>
                <c:pt idx="22">
                  <c:v>422</c:v>
                </c:pt>
                <c:pt idx="23">
                  <c:v>405</c:v>
                </c:pt>
                <c:pt idx="24">
                  <c:v>137</c:v>
                </c:pt>
                <c:pt idx="25">
                  <c:v>807</c:v>
                </c:pt>
                <c:pt idx="26">
                  <c:v>556</c:v>
                </c:pt>
                <c:pt idx="27">
                  <c:v>547</c:v>
                </c:pt>
                <c:pt idx="28">
                  <c:v>771</c:v>
                </c:pt>
                <c:pt idx="29">
                  <c:v>532</c:v>
                </c:pt>
                <c:pt idx="30">
                  <c:v>371</c:v>
                </c:pt>
                <c:pt idx="31">
                  <c:v>919</c:v>
                </c:pt>
                <c:pt idx="32">
                  <c:v>579</c:v>
                </c:pt>
                <c:pt idx="33">
                  <c:v>435</c:v>
                </c:pt>
                <c:pt idx="34">
                  <c:v>217</c:v>
                </c:pt>
                <c:pt idx="35">
                  <c:v>126</c:v>
                </c:pt>
                <c:pt idx="36">
                  <c:v>118</c:v>
                </c:pt>
                <c:pt idx="37">
                  <c:v>799</c:v>
                </c:pt>
                <c:pt idx="38">
                  <c:v>804</c:v>
                </c:pt>
                <c:pt idx="39">
                  <c:v>630</c:v>
                </c:pt>
                <c:pt idx="40">
                  <c:v>618</c:v>
                </c:pt>
                <c:pt idx="41">
                  <c:v>452</c:v>
                </c:pt>
                <c:pt idx="42">
                  <c:v>350</c:v>
                </c:pt>
                <c:pt idx="43">
                  <c:v>309</c:v>
                </c:pt>
                <c:pt idx="44">
                  <c:v>470</c:v>
                </c:pt>
                <c:pt idx="45">
                  <c:v>294</c:v>
                </c:pt>
                <c:pt idx="46">
                  <c:v>369</c:v>
                </c:pt>
                <c:pt idx="47">
                  <c:v>312</c:v>
                </c:pt>
                <c:pt idx="48">
                  <c:v>798</c:v>
                </c:pt>
                <c:pt idx="49">
                  <c:v>625</c:v>
                </c:pt>
                <c:pt idx="50">
                  <c:v>714</c:v>
                </c:pt>
                <c:pt idx="51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B-43C4-8D63-9A70465D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0352"/>
        <c:axId val="55832912"/>
      </c:lineChart>
      <c:catAx>
        <c:axId val="2044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2912"/>
        <c:crosses val="autoZero"/>
        <c:auto val="1"/>
        <c:lblAlgn val="ctr"/>
        <c:lblOffset val="100"/>
        <c:noMultiLvlLbl val="0"/>
      </c:catAx>
      <c:valAx>
        <c:axId val="558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5-4B8C-A778-B206E101D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5-4B8C-A778-B206E101D9EA}"/>
              </c:ext>
            </c:extLst>
          </c:dPt>
          <c:val>
            <c:numRef>
              <c:f>Formulas!$AS$7:$AS$8</c:f>
              <c:numCache>
                <c:formatCode>0%</c:formatCode>
                <c:ptCount val="2"/>
                <c:pt idx="0">
                  <c:v>0.69</c:v>
                </c:pt>
                <c:pt idx="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F8C-B45D-0B18F9D8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250815831209E-2"/>
          <c:y val="2.1168938279099405E-2"/>
          <c:w val="0.93758737354997956"/>
          <c:h val="0.87162732482892569"/>
        </c:manualLayout>
      </c:layout>
      <c:lineChart>
        <c:grouping val="standard"/>
        <c:varyColors val="0"/>
        <c:ser>
          <c:idx val="0"/>
          <c:order val="0"/>
          <c:tx>
            <c:strRef>
              <c:f>Formulas!$Z$5</c:f>
              <c:strCache>
                <c:ptCount val="1"/>
                <c:pt idx="0">
                  <c:v>Purchases Items 2023</c:v>
                </c:pt>
              </c:strCache>
            </c:strRef>
          </c:tx>
          <c:spPr>
            <a:ln w="28575" cap="rnd">
              <a:solidFill>
                <a:srgbClr val="273FB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0066"/>
              </a:solidFill>
              <a:ln w="9525">
                <a:noFill/>
              </a:ln>
              <a:effectLst/>
            </c:spPr>
          </c:marker>
          <c:cat>
            <c:numRef>
              <c:f>Formulas!$Y$6:$Y$57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Formulas!$Z$6:$Z$57</c:f>
              <c:numCache>
                <c:formatCode>General</c:formatCode>
                <c:ptCount val="52"/>
                <c:pt idx="0">
                  <c:v>470</c:v>
                </c:pt>
                <c:pt idx="1">
                  <c:v>402</c:v>
                </c:pt>
                <c:pt idx="2">
                  <c:v>496</c:v>
                </c:pt>
                <c:pt idx="3">
                  <c:v>856</c:v>
                </c:pt>
                <c:pt idx="4">
                  <c:v>888</c:v>
                </c:pt>
                <c:pt idx="5">
                  <c:v>406</c:v>
                </c:pt>
                <c:pt idx="6">
                  <c:v>567</c:v>
                </c:pt>
                <c:pt idx="7">
                  <c:v>993</c:v>
                </c:pt>
                <c:pt idx="8">
                  <c:v>327</c:v>
                </c:pt>
                <c:pt idx="9">
                  <c:v>462</c:v>
                </c:pt>
                <c:pt idx="10">
                  <c:v>200</c:v>
                </c:pt>
                <c:pt idx="11">
                  <c:v>384</c:v>
                </c:pt>
                <c:pt idx="12">
                  <c:v>818</c:v>
                </c:pt>
                <c:pt idx="13">
                  <c:v>622</c:v>
                </c:pt>
                <c:pt idx="14">
                  <c:v>438</c:v>
                </c:pt>
                <c:pt idx="15">
                  <c:v>967</c:v>
                </c:pt>
                <c:pt idx="16">
                  <c:v>543</c:v>
                </c:pt>
                <c:pt idx="17">
                  <c:v>545</c:v>
                </c:pt>
                <c:pt idx="18">
                  <c:v>638</c:v>
                </c:pt>
                <c:pt idx="19">
                  <c:v>317</c:v>
                </c:pt>
                <c:pt idx="20">
                  <c:v>939</c:v>
                </c:pt>
                <c:pt idx="21">
                  <c:v>826</c:v>
                </c:pt>
                <c:pt idx="22">
                  <c:v>422</c:v>
                </c:pt>
                <c:pt idx="23">
                  <c:v>405</c:v>
                </c:pt>
                <c:pt idx="24">
                  <c:v>137</c:v>
                </c:pt>
                <c:pt idx="25">
                  <c:v>807</c:v>
                </c:pt>
                <c:pt idx="26">
                  <c:v>556</c:v>
                </c:pt>
                <c:pt idx="27">
                  <c:v>547</c:v>
                </c:pt>
                <c:pt idx="28">
                  <c:v>771</c:v>
                </c:pt>
                <c:pt idx="29">
                  <c:v>532</c:v>
                </c:pt>
                <c:pt idx="30">
                  <c:v>371</c:v>
                </c:pt>
                <c:pt idx="31">
                  <c:v>919</c:v>
                </c:pt>
                <c:pt idx="32">
                  <c:v>579</c:v>
                </c:pt>
                <c:pt idx="33">
                  <c:v>435</c:v>
                </c:pt>
                <c:pt idx="34">
                  <c:v>217</c:v>
                </c:pt>
                <c:pt idx="35">
                  <c:v>126</c:v>
                </c:pt>
                <c:pt idx="36">
                  <c:v>118</c:v>
                </c:pt>
                <c:pt idx="37">
                  <c:v>799</c:v>
                </c:pt>
                <c:pt idx="38">
                  <c:v>804</c:v>
                </c:pt>
                <c:pt idx="39">
                  <c:v>630</c:v>
                </c:pt>
                <c:pt idx="40">
                  <c:v>618</c:v>
                </c:pt>
                <c:pt idx="41">
                  <c:v>452</c:v>
                </c:pt>
                <c:pt idx="42">
                  <c:v>350</c:v>
                </c:pt>
                <c:pt idx="43">
                  <c:v>309</c:v>
                </c:pt>
                <c:pt idx="44">
                  <c:v>470</c:v>
                </c:pt>
                <c:pt idx="45">
                  <c:v>294</c:v>
                </c:pt>
                <c:pt idx="46">
                  <c:v>369</c:v>
                </c:pt>
                <c:pt idx="47">
                  <c:v>312</c:v>
                </c:pt>
                <c:pt idx="48">
                  <c:v>798</c:v>
                </c:pt>
                <c:pt idx="49">
                  <c:v>625</c:v>
                </c:pt>
                <c:pt idx="50">
                  <c:v>714</c:v>
                </c:pt>
                <c:pt idx="51">
                  <c:v>732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89-41D7-8C72-BA9FA1CF2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0352"/>
        <c:axId val="55832912"/>
      </c:lineChart>
      <c:catAx>
        <c:axId val="2044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Helvetice"/>
                <a:ea typeface="+mn-ea"/>
                <a:cs typeface="+mn-cs"/>
              </a:defRPr>
            </a:pPr>
            <a:endParaRPr lang="en-US"/>
          </a:p>
        </c:txPr>
        <c:crossAx val="55832912"/>
        <c:crosses val="autoZero"/>
        <c:auto val="1"/>
        <c:lblAlgn val="ctr"/>
        <c:lblOffset val="100"/>
        <c:noMultiLvlLbl val="0"/>
      </c:catAx>
      <c:valAx>
        <c:axId val="558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Helvetice"/>
                <a:ea typeface="+mn-ea"/>
                <a:cs typeface="+mn-cs"/>
              </a:defRPr>
            </a:pPr>
            <a:endParaRPr lang="en-US"/>
          </a:p>
        </c:txPr>
        <c:crossAx val="2044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22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00020986071128E-2"/>
          <c:y val="2.3876062555283895E-2"/>
          <c:w val="0.92222222222222228"/>
          <c:h val="0.57451526039049194"/>
        </c:manualLayout>
      </c:layout>
      <c:barChart>
        <c:barDir val="bar"/>
        <c:grouping val="percent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5688125177049925"/>
                  <c:y val="-9.27961225347224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9C-424A-8120-B6304694E8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336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Formulas!$AQ$7</c:f>
              <c:numCache>
                <c:formatCode>0%</c:formatCode>
                <c:ptCount val="1"/>
                <c:pt idx="0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C-424A-8120-B6304694E8E0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Formulas!$AR$7</c:f>
              <c:numCache>
                <c:formatCode>0%</c:formatCode>
                <c:ptCount val="1"/>
                <c:pt idx="0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C-424A-8120-B6304694E8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194032"/>
        <c:axId val="1331450688"/>
      </c:barChart>
      <c:catAx>
        <c:axId val="159194032"/>
        <c:scaling>
          <c:orientation val="minMax"/>
        </c:scaling>
        <c:delete val="1"/>
        <c:axPos val="l"/>
        <c:majorTickMark val="none"/>
        <c:minorTickMark val="none"/>
        <c:tickLblPos val="nextTo"/>
        <c:crossAx val="1331450688"/>
        <c:crosses val="autoZero"/>
        <c:auto val="1"/>
        <c:lblAlgn val="ctr"/>
        <c:lblOffset val="100"/>
        <c:noMultiLvlLbl val="0"/>
      </c:catAx>
      <c:valAx>
        <c:axId val="13314506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91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273FB1"/>
            </a:solidFill>
            <a:ln>
              <a:noFill/>
            </a:ln>
            <a:effectLst/>
          </c:spPr>
          <c:invertIfNegative val="0"/>
          <c:val>
            <c:numRef>
              <c:f>Formulas!$AQ$7</c:f>
              <c:numCache>
                <c:formatCode>0%</c:formatCode>
                <c:ptCount val="1"/>
                <c:pt idx="0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4-40E0-8B22-AB9C9B0E6CC1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Formulas!$AR$7</c:f>
              <c:numCache>
                <c:formatCode>0%</c:formatCode>
                <c:ptCount val="1"/>
                <c:pt idx="0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4-40E0-8B22-AB9C9B0E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94032"/>
        <c:axId val="1331450688"/>
      </c:barChart>
      <c:catAx>
        <c:axId val="159194032"/>
        <c:scaling>
          <c:orientation val="minMax"/>
        </c:scaling>
        <c:delete val="1"/>
        <c:axPos val="l"/>
        <c:majorTickMark val="none"/>
        <c:minorTickMark val="none"/>
        <c:tickLblPos val="nextTo"/>
        <c:crossAx val="1331450688"/>
        <c:crosses val="autoZero"/>
        <c:auto val="1"/>
        <c:lblAlgn val="ctr"/>
        <c:lblOffset val="100"/>
        <c:noMultiLvlLbl val="0"/>
      </c:catAx>
      <c:valAx>
        <c:axId val="13314506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91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33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D-4562-BDEE-EF22C1E0B1E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D-4562-BDEE-EF22C1E0B1E8}"/>
              </c:ext>
            </c:extLst>
          </c:dPt>
          <c:val>
            <c:numRef>
              <c:f>Formulas!$AS$7:$AS$8</c:f>
              <c:numCache>
                <c:formatCode>0%</c:formatCode>
                <c:ptCount val="2"/>
                <c:pt idx="0">
                  <c:v>0.69</c:v>
                </c:pt>
                <c:pt idx="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FD-4562-BDEE-EF22C1E0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Formulas!$P$7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Spin" dx="22" fmlaLink="Formulas!$I$8" max="2023" min="2019" page="10" val="2023"/>
</file>

<file path=xl/ctrlProps/ctrlProp4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shboards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8.png"/><Relationship Id="rId3" Type="http://schemas.openxmlformats.org/officeDocument/2006/relationships/hyperlink" Target="#Data!A1"/><Relationship Id="rId7" Type="http://schemas.openxmlformats.org/officeDocument/2006/relationships/chart" Target="../charts/chart4.xml"/><Relationship Id="rId12" Type="http://schemas.openxmlformats.org/officeDocument/2006/relationships/image" Target="../media/image7.png"/><Relationship Id="rId2" Type="http://schemas.microsoft.com/office/2007/relationships/hdphoto" Target="../media/hdphoto2.wdp"/><Relationship Id="rId1" Type="http://schemas.openxmlformats.org/officeDocument/2006/relationships/image" Target="../media/image4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image" Target="../media/image3.svg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197705</xdr:colOff>
      <xdr:row>4</xdr:row>
      <xdr:rowOff>300958</xdr:rowOff>
    </xdr:from>
    <xdr:to>
      <xdr:col>6</xdr:col>
      <xdr:colOff>477853</xdr:colOff>
      <xdr:row>6</xdr:row>
      <xdr:rowOff>18410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26455" y="981315"/>
          <a:ext cx="3981291" cy="288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  <a:latin typeface="Helvetice"/>
            </a:rPr>
            <a:t>MOHAMED HAMED</a:t>
          </a:r>
          <a:r>
            <a:rPr lang="en-US" sz="2000" b="1" baseline="0">
              <a:solidFill>
                <a:schemeClr val="bg1"/>
              </a:solidFill>
              <a:latin typeface="Helvetice"/>
            </a:rPr>
            <a:t> EL-SAYED </a:t>
          </a:r>
          <a:endParaRPr lang="en-US" sz="2000" b="1">
            <a:solidFill>
              <a:schemeClr val="bg1"/>
            </a:solidFill>
            <a:latin typeface="Helvetice"/>
          </a:endParaRPr>
        </a:p>
      </xdr:txBody>
    </xdr:sp>
    <xdr:clientData/>
  </xdr:twoCellAnchor>
  <xdr:twoCellAnchor>
    <xdr:from>
      <xdr:col>1</xdr:col>
      <xdr:colOff>179295</xdr:colOff>
      <xdr:row>4</xdr:row>
      <xdr:rowOff>235323</xdr:rowOff>
    </xdr:from>
    <xdr:to>
      <xdr:col>1</xdr:col>
      <xdr:colOff>773207</xdr:colOff>
      <xdr:row>6</xdr:row>
      <xdr:rowOff>78441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73207" y="918882"/>
          <a:ext cx="593912" cy="403412"/>
        </a:xfrm>
        <a:prstGeom prst="rect">
          <a:avLst/>
        </a:prstGeom>
        <a:solidFill>
          <a:srgbClr val="00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56030</xdr:colOff>
      <xdr:row>4</xdr:row>
      <xdr:rowOff>56029</xdr:rowOff>
    </xdr:from>
    <xdr:to>
      <xdr:col>2</xdr:col>
      <xdr:colOff>156885</xdr:colOff>
      <xdr:row>8</xdr:row>
      <xdr:rowOff>89646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42" y="739588"/>
          <a:ext cx="941296" cy="997323"/>
        </a:xfrm>
        <a:prstGeom prst="ellipse">
          <a:avLst/>
        </a:prstGeom>
        <a:ln>
          <a:noFill/>
        </a:ln>
        <a:effectLst/>
      </xdr:spPr>
    </xdr:pic>
    <xdr:clientData/>
  </xdr:twoCellAnchor>
  <xdr:twoCellAnchor>
    <xdr:from>
      <xdr:col>0</xdr:col>
      <xdr:colOff>174812</xdr:colOff>
      <xdr:row>1</xdr:row>
      <xdr:rowOff>64354</xdr:rowOff>
    </xdr:from>
    <xdr:to>
      <xdr:col>2</xdr:col>
      <xdr:colOff>241240</xdr:colOff>
      <xdr:row>5</xdr:row>
      <xdr:rowOff>80836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pSpPr/>
      </xdr:nvGrpSpPr>
      <xdr:grpSpPr>
        <a:xfrm>
          <a:off x="174812" y="254854"/>
          <a:ext cx="1495178" cy="873732"/>
          <a:chOff x="264459" y="97972"/>
          <a:chExt cx="1500781" cy="868129"/>
        </a:xfrm>
      </xdr:grpSpPr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GrpSpPr/>
        </xdr:nvGrpSpPr>
        <xdr:grpSpPr>
          <a:xfrm>
            <a:off x="898959" y="97972"/>
            <a:ext cx="73152" cy="377952"/>
            <a:chOff x="582707" y="280147"/>
            <a:chExt cx="73152" cy="377952"/>
          </a:xfrm>
        </xdr:grpSpPr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GrpSpPr/>
        </xdr:nvGrpSpPr>
        <xdr:grpSpPr>
          <a:xfrm>
            <a:off x="581709" y="127428"/>
            <a:ext cx="73152" cy="835152"/>
            <a:chOff x="582707" y="280147"/>
            <a:chExt cx="73152" cy="835152"/>
          </a:xfrm>
        </xdr:grpSpPr>
        <xdr:sp macro="" textlink="">
          <xdr:nvSpPr>
            <xdr:cNvPr id="51" name="Oval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Oval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" name="Oval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6" name="Oval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GrpSpPr/>
        </xdr:nvGrpSpPr>
        <xdr:grpSpPr>
          <a:xfrm>
            <a:off x="740334" y="101495"/>
            <a:ext cx="73152" cy="377952"/>
            <a:chOff x="582707" y="280147"/>
            <a:chExt cx="73152" cy="377952"/>
          </a:xfrm>
        </xdr:grpSpPr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Oval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GrpSpPr/>
        </xdr:nvGrpSpPr>
        <xdr:grpSpPr>
          <a:xfrm>
            <a:off x="1057584" y="109818"/>
            <a:ext cx="73152" cy="377952"/>
            <a:chOff x="582707" y="280147"/>
            <a:chExt cx="73152" cy="377952"/>
          </a:xfrm>
        </xdr:grpSpPr>
        <xdr:sp macro="" textlink="">
          <xdr:nvSpPr>
            <xdr:cNvPr id="65" name="Oval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Oval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" name="Oval 66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GrpSpPr/>
        </xdr:nvGrpSpPr>
        <xdr:grpSpPr>
          <a:xfrm>
            <a:off x="1374834" y="112059"/>
            <a:ext cx="73152" cy="377952"/>
            <a:chOff x="582707" y="280147"/>
            <a:chExt cx="73152" cy="377952"/>
          </a:xfrm>
        </xdr:grpSpPr>
        <xdr:sp macro="" textlink="">
          <xdr:nvSpPr>
            <xdr:cNvPr id="72" name="Oval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" name="Oval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Oval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1216209" y="116863"/>
            <a:ext cx="73152" cy="377952"/>
            <a:chOff x="582707" y="280147"/>
            <a:chExt cx="73152" cy="377952"/>
          </a:xfrm>
        </xdr:grpSpPr>
        <xdr:sp macro="" textlink="">
          <xdr:nvSpPr>
            <xdr:cNvPr id="79" name="Oval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0" name="Oval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" name="Oval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5" name="Group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GrpSpPr/>
        </xdr:nvGrpSpPr>
        <xdr:grpSpPr>
          <a:xfrm>
            <a:off x="1533459" y="113340"/>
            <a:ext cx="73152" cy="377952"/>
            <a:chOff x="582707" y="280147"/>
            <a:chExt cx="73152" cy="377952"/>
          </a:xfrm>
        </xdr:grpSpPr>
        <xdr:sp macro="" textlink="">
          <xdr:nvSpPr>
            <xdr:cNvPr id="86" name="Oval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" name="Oval 86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" name="Oval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GrpSpPr/>
        </xdr:nvGrpSpPr>
        <xdr:grpSpPr>
          <a:xfrm>
            <a:off x="423084" y="130949"/>
            <a:ext cx="73152" cy="835152"/>
            <a:chOff x="582707" y="280147"/>
            <a:chExt cx="73152" cy="835152"/>
          </a:xfrm>
        </xdr:grpSpPr>
        <xdr:sp macro="" textlink="">
          <xdr:nvSpPr>
            <xdr:cNvPr id="93" name="Oval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4" name="Oval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5" name="Oval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6" name="Oval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GrpSpPr/>
        </xdr:nvGrpSpPr>
        <xdr:grpSpPr>
          <a:xfrm>
            <a:off x="1692088" y="123265"/>
            <a:ext cx="73152" cy="377952"/>
            <a:chOff x="582707" y="280147"/>
            <a:chExt cx="73152" cy="377952"/>
          </a:xfrm>
        </xdr:grpSpPr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1" name="Oval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2" name="Oval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GrpSpPr/>
        </xdr:nvGrpSpPr>
        <xdr:grpSpPr>
          <a:xfrm>
            <a:off x="264459" y="129986"/>
            <a:ext cx="73152" cy="835152"/>
            <a:chOff x="582707" y="280147"/>
            <a:chExt cx="73152" cy="835152"/>
          </a:xfrm>
        </xdr:grpSpPr>
        <xdr:sp macro="" textlink="">
          <xdr:nvSpPr>
            <xdr:cNvPr id="107" name="Oval 106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8" name="Oval 107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0" name="Oval 109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1" name="Oval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2" name="Oval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13</xdr:col>
      <xdr:colOff>717173</xdr:colOff>
      <xdr:row>0</xdr:row>
      <xdr:rowOff>0</xdr:rowOff>
    </xdr:from>
    <xdr:to>
      <xdr:col>17</xdr:col>
      <xdr:colOff>840440</xdr:colOff>
      <xdr:row>2</xdr:row>
      <xdr:rowOff>89647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 flipH="1" flipV="1">
          <a:off x="12505761" y="0"/>
          <a:ext cx="3798797" cy="470647"/>
        </a:xfrm>
        <a:prstGeom prst="triangle">
          <a:avLst>
            <a:gd name="adj" fmla="val 100000"/>
          </a:avLst>
        </a:prstGeom>
        <a:gradFill flip="none" rotWithShape="1">
          <a:gsLst>
            <a:gs pos="100000">
              <a:srgbClr val="1A2E87">
                <a:lumMod val="100000"/>
                <a:alpha val="6000"/>
              </a:srgbClr>
            </a:gs>
            <a:gs pos="100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45000"/>
                <a:lumOff val="55000"/>
              </a:schemeClr>
            </a:gs>
            <a:gs pos="0">
              <a:srgbClr val="273FB1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347381</xdr:colOff>
      <xdr:row>4</xdr:row>
      <xdr:rowOff>156881</xdr:rowOff>
    </xdr:from>
    <xdr:to>
      <xdr:col>19</xdr:col>
      <xdr:colOff>280147</xdr:colOff>
      <xdr:row>10</xdr:row>
      <xdr:rowOff>123264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15811499" y="840440"/>
          <a:ext cx="1770530" cy="1333500"/>
        </a:xfrm>
        <a:prstGeom prst="ellipse">
          <a:avLst/>
        </a:prstGeom>
        <a:gradFill>
          <a:gsLst>
            <a:gs pos="100000">
              <a:srgbClr val="1A2E87">
                <a:lumMod val="100000"/>
                <a:alpha val="6000"/>
              </a:srgbClr>
            </a:gs>
            <a:gs pos="0">
              <a:schemeClr val="accent5">
                <a:lumMod val="45000"/>
                <a:lumOff val="55000"/>
              </a:schemeClr>
            </a:gs>
            <a:gs pos="54120">
              <a:srgbClr val="526CC3"/>
            </a:gs>
            <a:gs pos="100000">
              <a:schemeClr val="accent5">
                <a:lumMod val="45000"/>
                <a:lumOff val="55000"/>
              </a:schemeClr>
            </a:gs>
            <a:gs pos="100000">
              <a:srgbClr val="273FB1">
                <a:alpha val="6000"/>
              </a:srgb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653143</xdr:colOff>
      <xdr:row>6</xdr:row>
      <xdr:rowOff>95250</xdr:rowOff>
    </xdr:from>
    <xdr:to>
      <xdr:col>5</xdr:col>
      <xdr:colOff>612322</xdr:colOff>
      <xdr:row>9</xdr:row>
      <xdr:rowOff>95249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2081893" y="1347107"/>
          <a:ext cx="2735036" cy="612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  <a:latin typeface="Helvetice"/>
            </a:rPr>
            <a:t>Data</a:t>
          </a:r>
          <a:r>
            <a:rPr lang="en-US" sz="2400" b="1" baseline="0">
              <a:solidFill>
                <a:schemeClr val="bg1"/>
              </a:solidFill>
              <a:latin typeface="Helvetice"/>
            </a:rPr>
            <a:t> Analyst</a:t>
          </a:r>
          <a:endParaRPr lang="en-US" sz="2400" b="1">
            <a:solidFill>
              <a:schemeClr val="bg1"/>
            </a:solidFill>
            <a:latin typeface="Helvetice"/>
          </a:endParaRPr>
        </a:p>
      </xdr:txBody>
    </xdr:sp>
    <xdr:clientData/>
  </xdr:twoCellAnchor>
  <xdr:twoCellAnchor editAs="oneCell">
    <xdr:from>
      <xdr:col>16</xdr:col>
      <xdr:colOff>163285</xdr:colOff>
      <xdr:row>6</xdr:row>
      <xdr:rowOff>0</xdr:rowOff>
    </xdr:from>
    <xdr:to>
      <xdr:col>16</xdr:col>
      <xdr:colOff>477610</xdr:colOff>
      <xdr:row>7</xdr:row>
      <xdr:rowOff>82834</xdr:rowOff>
    </xdr:to>
    <xdr:pic>
      <xdr:nvPicPr>
        <xdr:cNvPr id="3" name="Graphic 2" descr="Hamburger Menu Icon with solid fill">
          <a:hlinkClick xmlns:r="http://schemas.openxmlformats.org/officeDocument/2006/relationships" r:id="rId3" tooltip="Go to Dashboards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777356" y="1251857"/>
          <a:ext cx="314325" cy="286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103909</xdr:colOff>
      <xdr:row>0</xdr:row>
      <xdr:rowOff>17318</xdr:rowOff>
    </xdr:from>
    <xdr:to>
      <xdr:col>39</xdr:col>
      <xdr:colOff>432954</xdr:colOff>
      <xdr:row>2</xdr:row>
      <xdr:rowOff>121227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5754636" y="17318"/>
          <a:ext cx="2095500" cy="658091"/>
        </a:xfrm>
        <a:prstGeom prst="rect">
          <a:avLst/>
        </a:prstGeom>
        <a:solidFill>
          <a:srgbClr val="F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 u="none">
              <a:ln>
                <a:solidFill>
                  <a:srgbClr val="00FFFF"/>
                </a:solidFill>
              </a:ln>
              <a:solidFill>
                <a:schemeClr val="tx1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Main</a:t>
          </a:r>
          <a:r>
            <a:rPr lang="en-US" sz="2800" b="1" u="none" baseline="0">
              <a:ln>
                <a:solidFill>
                  <a:srgbClr val="00FFFF"/>
                </a:solidFill>
              </a:ln>
              <a:solidFill>
                <a:schemeClr val="tx1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 Value</a:t>
          </a:r>
          <a:endParaRPr lang="en-US" sz="2800" b="1" u="none">
            <a:ln>
              <a:solidFill>
                <a:srgbClr val="00FFFF"/>
              </a:solidFill>
            </a:ln>
            <a:solidFill>
              <a:schemeClr val="tx1"/>
            </a:solidFill>
            <a:effectLst>
              <a:glow rad="228600">
                <a:schemeClr val="accent3">
                  <a:satMod val="175000"/>
                  <a:alpha val="40000"/>
                </a:schemeClr>
              </a:glow>
              <a:innerShdw blurRad="63500" dist="50800" dir="16200000">
                <a:prstClr val="black">
                  <a:alpha val="50000"/>
                </a:prstClr>
              </a:innerShdw>
            </a:effectLst>
          </a:endParaRPr>
        </a:p>
      </xdr:txBody>
    </xdr:sp>
    <xdr:clientData/>
  </xdr:twoCellAnchor>
  <xdr:twoCellAnchor>
    <xdr:from>
      <xdr:col>37</xdr:col>
      <xdr:colOff>43961</xdr:colOff>
      <xdr:row>0</xdr:row>
      <xdr:rowOff>0</xdr:rowOff>
    </xdr:from>
    <xdr:to>
      <xdr:col>37</xdr:col>
      <xdr:colOff>103909</xdr:colOff>
      <xdr:row>41</xdr:row>
      <xdr:rowOff>86591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45694688" y="0"/>
          <a:ext cx="59948" cy="10598727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666750</xdr:colOff>
      <xdr:row>0</xdr:row>
      <xdr:rowOff>0</xdr:rowOff>
    </xdr:from>
    <xdr:to>
      <xdr:col>13</xdr:col>
      <xdr:colOff>666750</xdr:colOff>
      <xdr:row>31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7524750" y="0"/>
          <a:ext cx="0" cy="594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0</xdr:row>
      <xdr:rowOff>9526</xdr:rowOff>
    </xdr:from>
    <xdr:to>
      <xdr:col>15</xdr:col>
      <xdr:colOff>754674</xdr:colOff>
      <xdr:row>2</xdr:row>
      <xdr:rowOff>9526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356732" y="9526"/>
          <a:ext cx="1443404" cy="395654"/>
        </a:xfrm>
        <a:prstGeom prst="rect">
          <a:avLst/>
        </a:prstGeom>
        <a:solidFill>
          <a:srgbClr val="00FFFF"/>
        </a:solidFill>
        <a:ln>
          <a:solidFill>
            <a:srgbClr val="00FF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Option Button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19050</xdr:colOff>
      <xdr:row>35</xdr:row>
      <xdr:rowOff>123825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371600" y="0"/>
          <a:ext cx="19050" cy="6724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0</xdr:row>
      <xdr:rowOff>0</xdr:rowOff>
    </xdr:from>
    <xdr:to>
      <xdr:col>7</xdr:col>
      <xdr:colOff>619125</xdr:colOff>
      <xdr:row>2</xdr:row>
      <xdr:rowOff>123825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400175" y="0"/>
          <a:ext cx="1276350" cy="523875"/>
        </a:xfrm>
        <a:prstGeom prst="rect">
          <a:avLst/>
        </a:prstGeom>
        <a:solidFill>
          <a:srgbClr val="66FF3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Spinner</a:t>
          </a:r>
        </a:p>
      </xdr:txBody>
    </xdr:sp>
    <xdr:clientData/>
  </xdr:twoCellAnchor>
  <xdr:twoCellAnchor>
    <xdr:from>
      <xdr:col>16</xdr:col>
      <xdr:colOff>415017</xdr:colOff>
      <xdr:row>25</xdr:row>
      <xdr:rowOff>155120</xdr:rowOff>
    </xdr:from>
    <xdr:to>
      <xdr:col>23</xdr:col>
      <xdr:colOff>198664</xdr:colOff>
      <xdr:row>42</xdr:row>
      <xdr:rowOff>176892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1384789</xdr:colOff>
      <xdr:row>0</xdr:row>
      <xdr:rowOff>9526</xdr:rowOff>
    </xdr:from>
    <xdr:to>
      <xdr:col>27</xdr:col>
      <xdr:colOff>0</xdr:colOff>
      <xdr:row>34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>
          <a:off x="26626039" y="9526"/>
          <a:ext cx="43961" cy="803229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9526</xdr:rowOff>
    </xdr:from>
    <xdr:to>
      <xdr:col>28</xdr:col>
      <xdr:colOff>0</xdr:colOff>
      <xdr:row>3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6670000" y="9526"/>
          <a:ext cx="1428750" cy="91576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22C2D8"/>
              </a:solidFill>
            </a:rPr>
            <a:t>Line Chart</a:t>
          </a:r>
          <a:r>
            <a:rPr lang="en-US" sz="2000" b="1" baseline="0">
              <a:solidFill>
                <a:srgbClr val="22C2D8"/>
              </a:solidFill>
            </a:rPr>
            <a:t> Values</a:t>
          </a:r>
          <a:endParaRPr lang="en-US" sz="2000" b="1">
            <a:solidFill>
              <a:srgbClr val="22C2D8"/>
            </a:solidFill>
          </a:endParaRPr>
        </a:p>
      </xdr:txBody>
    </xdr:sp>
    <xdr:clientData/>
  </xdr:twoCellAnchor>
  <xdr:twoCellAnchor>
    <xdr:from>
      <xdr:col>31</xdr:col>
      <xdr:colOff>585108</xdr:colOff>
      <xdr:row>0</xdr:row>
      <xdr:rowOff>0</xdr:rowOff>
    </xdr:from>
    <xdr:to>
      <xdr:col>31</xdr:col>
      <xdr:colOff>629069</xdr:colOff>
      <xdr:row>32</xdr:row>
      <xdr:rowOff>117231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H="1">
          <a:off x="34466894" y="0"/>
          <a:ext cx="43961" cy="8662517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680357</xdr:colOff>
      <xdr:row>0</xdr:row>
      <xdr:rowOff>27214</xdr:rowOff>
    </xdr:from>
    <xdr:to>
      <xdr:col>32</xdr:col>
      <xdr:colOff>884464</xdr:colOff>
      <xdr:row>2</xdr:row>
      <xdr:rowOff>353786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4562143" y="27214"/>
          <a:ext cx="1632857" cy="88446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0B0F0"/>
              </a:solidFill>
            </a:rPr>
            <a:t>Line Chart Title</a:t>
          </a:r>
        </a:p>
      </xdr:txBody>
    </xdr:sp>
    <xdr:clientData/>
  </xdr:twoCellAnchor>
  <xdr:twoCellAnchor>
    <xdr:from>
      <xdr:col>38</xdr:col>
      <xdr:colOff>0</xdr:colOff>
      <xdr:row>6</xdr:row>
      <xdr:rowOff>0</xdr:rowOff>
    </xdr:from>
    <xdr:to>
      <xdr:col>38</xdr:col>
      <xdr:colOff>750234</xdr:colOff>
      <xdr:row>6</xdr:row>
      <xdr:rowOff>296956</xdr:rowOff>
    </xdr:to>
    <xdr:sp macro="" textlink="Formulas!AQ7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6087393" y="2435679"/>
          <a:ext cx="750234" cy="296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7447405-77CB-4113-8E3A-E9DD857FEEB2}" type="TxLink">
            <a:rPr lang="en-US" sz="22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73%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40</xdr:col>
      <xdr:colOff>612322</xdr:colOff>
      <xdr:row>11</xdr:row>
      <xdr:rowOff>0</xdr:rowOff>
    </xdr:from>
    <xdr:to>
      <xdr:col>47</xdr:col>
      <xdr:colOff>136072</xdr:colOff>
      <xdr:row>30</xdr:row>
      <xdr:rowOff>176893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140555</xdr:colOff>
      <xdr:row>5</xdr:row>
      <xdr:rowOff>15208</xdr:rowOff>
    </xdr:from>
    <xdr:to>
      <xdr:col>6</xdr:col>
      <xdr:colOff>257175</xdr:colOff>
      <xdr:row>6</xdr:row>
      <xdr:rowOff>46985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512155" y="1015333"/>
          <a:ext cx="2859820" cy="2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chemeClr val="bg1"/>
              </a:solidFill>
              <a:latin typeface="Helvetice"/>
            </a:rPr>
            <a:t>MOHAMED HAMED</a:t>
          </a:r>
          <a:r>
            <a:rPr lang="en-US" sz="1400" b="1" baseline="0">
              <a:solidFill>
                <a:schemeClr val="bg1"/>
              </a:solidFill>
              <a:latin typeface="Helvetice"/>
            </a:rPr>
            <a:t> EL-SAYED </a:t>
          </a:r>
          <a:endParaRPr lang="en-US" sz="1400" b="1">
            <a:solidFill>
              <a:schemeClr val="bg1"/>
            </a:solidFill>
            <a:latin typeface="Helvetice"/>
          </a:endParaRPr>
        </a:p>
      </xdr:txBody>
    </xdr:sp>
    <xdr:clientData/>
  </xdr:twoCellAnchor>
  <xdr:twoCellAnchor>
    <xdr:from>
      <xdr:col>1</xdr:col>
      <xdr:colOff>179295</xdr:colOff>
      <xdr:row>4</xdr:row>
      <xdr:rowOff>235323</xdr:rowOff>
    </xdr:from>
    <xdr:to>
      <xdr:col>1</xdr:col>
      <xdr:colOff>773207</xdr:colOff>
      <xdr:row>6</xdr:row>
      <xdr:rowOff>78441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69845" y="921123"/>
          <a:ext cx="593912" cy="405093"/>
        </a:xfrm>
        <a:prstGeom prst="rect">
          <a:avLst/>
        </a:prstGeom>
        <a:solidFill>
          <a:srgbClr val="00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56030</xdr:colOff>
      <xdr:row>4</xdr:row>
      <xdr:rowOff>56030</xdr:rowOff>
    </xdr:from>
    <xdr:to>
      <xdr:col>2</xdr:col>
      <xdr:colOff>142875</xdr:colOff>
      <xdr:row>8</xdr:row>
      <xdr:rowOff>180976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30" y="856130"/>
          <a:ext cx="772645" cy="925046"/>
        </a:xfrm>
        <a:prstGeom prst="ellipse">
          <a:avLst/>
        </a:prstGeom>
        <a:ln>
          <a:noFill/>
        </a:ln>
        <a:effectLst/>
      </xdr:spPr>
    </xdr:pic>
    <xdr:clientData/>
  </xdr:twoCellAnchor>
  <xdr:twoCellAnchor>
    <xdr:from>
      <xdr:col>0</xdr:col>
      <xdr:colOff>270062</xdr:colOff>
      <xdr:row>1</xdr:row>
      <xdr:rowOff>178654</xdr:rowOff>
    </xdr:from>
    <xdr:to>
      <xdr:col>2</xdr:col>
      <xdr:colOff>336490</xdr:colOff>
      <xdr:row>5</xdr:row>
      <xdr:rowOff>195136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270062" y="386472"/>
          <a:ext cx="1451883" cy="847755"/>
          <a:chOff x="264459" y="97972"/>
          <a:chExt cx="1500781" cy="868129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pSpPr/>
        </xdr:nvGrpSpPr>
        <xdr:grpSpPr>
          <a:xfrm>
            <a:off x="898959" y="97972"/>
            <a:ext cx="73152" cy="377952"/>
            <a:chOff x="582707" y="280147"/>
            <a:chExt cx="73152" cy="377952"/>
          </a:xfrm>
        </xdr:grpSpPr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00000000-0008-0000-0200-000034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Oval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581709" y="127428"/>
            <a:ext cx="73152" cy="835152"/>
            <a:chOff x="582707" y="280147"/>
            <a:chExt cx="73152" cy="835152"/>
          </a:xfrm>
        </xdr:grpSpPr>
        <xdr:sp macro="" textlink="">
          <xdr:nvSpPr>
            <xdr:cNvPr id="46" name="Oval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8" name="Oval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9" name="Oval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0" name="Oval 49">
              <a:extLst>
                <a:ext uri="{FF2B5EF4-FFF2-40B4-BE49-F238E27FC236}">
                  <a16:creationId xmlns:a16="http://schemas.microsoft.com/office/drawing/2014/main" id="{00000000-0008-0000-0200-000032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1" name="Oval 50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GrpSpPr/>
        </xdr:nvGrpSpPr>
        <xdr:grpSpPr>
          <a:xfrm>
            <a:off x="740334" y="101495"/>
            <a:ext cx="73152" cy="377952"/>
            <a:chOff x="582707" y="280147"/>
            <a:chExt cx="73152" cy="377952"/>
          </a:xfrm>
        </xdr:grpSpPr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pSpPr/>
        </xdr:nvGrpSpPr>
        <xdr:grpSpPr>
          <a:xfrm>
            <a:off x="1057584" y="109818"/>
            <a:ext cx="73152" cy="377952"/>
            <a:chOff x="582707" y="280147"/>
            <a:chExt cx="73152" cy="377952"/>
          </a:xfrm>
        </xdr:grpSpPr>
        <xdr:sp macro="" textlink="">
          <xdr:nvSpPr>
            <xdr:cNvPr id="40" name="Oval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1" name="Oval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2" name="Oval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1374834" y="112059"/>
            <a:ext cx="73152" cy="377952"/>
            <a:chOff x="582707" y="280147"/>
            <a:chExt cx="73152" cy="377952"/>
          </a:xfrm>
        </xdr:grpSpPr>
        <xdr:sp macro="" textlink="">
          <xdr:nvSpPr>
            <xdr:cNvPr id="37" name="Oval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Oval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Oval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1216209" y="116863"/>
            <a:ext cx="73152" cy="377952"/>
            <a:chOff x="582707" y="280147"/>
            <a:chExt cx="73152" cy="377952"/>
          </a:xfrm>
        </xdr:grpSpPr>
        <xdr:sp macro="" textlink="">
          <xdr:nvSpPr>
            <xdr:cNvPr id="34" name="Oval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" name="Oval 34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6" name="Oval 35">
              <a:extLst>
                <a:ext uri="{FF2B5EF4-FFF2-40B4-BE49-F238E27FC236}">
                  <a16:creationId xmlns:a16="http://schemas.microsoft.com/office/drawing/2014/main" id="{00000000-0008-0000-0200-000024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GrpSpPr/>
        </xdr:nvGrpSpPr>
        <xdr:grpSpPr>
          <a:xfrm>
            <a:off x="1533459" y="113340"/>
            <a:ext cx="73152" cy="377952"/>
            <a:chOff x="582707" y="280147"/>
            <a:chExt cx="73152" cy="377952"/>
          </a:xfrm>
        </xdr:grpSpPr>
        <xdr:sp macro="" textlink="">
          <xdr:nvSpPr>
            <xdr:cNvPr id="31" name="Oval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Oval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pSpPr/>
        </xdr:nvGrpSpPr>
        <xdr:grpSpPr>
          <a:xfrm>
            <a:off x="423084" y="130949"/>
            <a:ext cx="73152" cy="835152"/>
            <a:chOff x="582707" y="280147"/>
            <a:chExt cx="73152" cy="835152"/>
          </a:xfrm>
        </xdr:grpSpPr>
        <xdr:sp macro="" textlink="">
          <xdr:nvSpPr>
            <xdr:cNvPr id="25" name="Oval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Oval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Oval 27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" name="Oval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1692088" y="123265"/>
            <a:ext cx="73152" cy="377952"/>
            <a:chOff x="582707" y="280147"/>
            <a:chExt cx="73152" cy="377952"/>
          </a:xfrm>
        </xdr:grpSpPr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Oval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264459" y="129986"/>
            <a:ext cx="73152" cy="835152"/>
            <a:chOff x="582707" y="280147"/>
            <a:chExt cx="73152" cy="835152"/>
          </a:xfrm>
        </xdr:grpSpPr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13</xdr:col>
      <xdr:colOff>565333</xdr:colOff>
      <xdr:row>0</xdr:row>
      <xdr:rowOff>0</xdr:rowOff>
    </xdr:from>
    <xdr:to>
      <xdr:col>17</xdr:col>
      <xdr:colOff>564775</xdr:colOff>
      <xdr:row>2</xdr:row>
      <xdr:rowOff>89647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 flipH="1" flipV="1">
          <a:off x="9451598" y="0"/>
          <a:ext cx="2733677" cy="493059"/>
        </a:xfrm>
        <a:prstGeom prst="triangle">
          <a:avLst>
            <a:gd name="adj" fmla="val 100000"/>
          </a:avLst>
        </a:prstGeom>
        <a:gradFill flip="none" rotWithShape="1">
          <a:gsLst>
            <a:gs pos="100000">
              <a:srgbClr val="1A2E87">
                <a:lumMod val="100000"/>
                <a:alpha val="6000"/>
              </a:srgbClr>
            </a:gs>
            <a:gs pos="100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45000"/>
                <a:lumOff val="55000"/>
              </a:schemeClr>
            </a:gs>
            <a:gs pos="0">
              <a:srgbClr val="273FB1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347381</xdr:colOff>
      <xdr:row>4</xdr:row>
      <xdr:rowOff>156881</xdr:rowOff>
    </xdr:from>
    <xdr:to>
      <xdr:col>19</xdr:col>
      <xdr:colOff>280147</xdr:colOff>
      <xdr:row>10</xdr:row>
      <xdr:rowOff>123264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863606" y="842681"/>
          <a:ext cx="1780616" cy="1328458"/>
        </a:xfrm>
        <a:prstGeom prst="ellipse">
          <a:avLst/>
        </a:prstGeom>
        <a:gradFill>
          <a:gsLst>
            <a:gs pos="100000">
              <a:srgbClr val="1A2E87">
                <a:lumMod val="100000"/>
                <a:alpha val="6000"/>
              </a:srgbClr>
            </a:gs>
            <a:gs pos="0">
              <a:schemeClr val="accent5">
                <a:lumMod val="45000"/>
                <a:lumOff val="55000"/>
              </a:schemeClr>
            </a:gs>
            <a:gs pos="54120">
              <a:srgbClr val="526CC3"/>
            </a:gs>
            <a:gs pos="100000">
              <a:schemeClr val="accent5">
                <a:lumMod val="45000"/>
                <a:lumOff val="55000"/>
              </a:schemeClr>
            </a:gs>
            <a:gs pos="100000">
              <a:srgbClr val="273FB1">
                <a:alpha val="6000"/>
              </a:srgb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338819</xdr:colOff>
      <xdr:row>6</xdr:row>
      <xdr:rowOff>133350</xdr:rowOff>
    </xdr:from>
    <xdr:to>
      <xdr:col>4</xdr:col>
      <xdr:colOff>628651</xdr:colOff>
      <xdr:row>8</xdr:row>
      <xdr:rowOff>95250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1710419" y="1333500"/>
          <a:ext cx="1661432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Helvetice"/>
            </a:rPr>
            <a:t>Data</a:t>
          </a:r>
          <a:r>
            <a:rPr lang="en-US" sz="1800" b="1" baseline="0">
              <a:solidFill>
                <a:schemeClr val="bg1"/>
              </a:solidFill>
              <a:latin typeface="Helvetice"/>
            </a:rPr>
            <a:t> Analyst</a:t>
          </a:r>
          <a:endParaRPr lang="en-US" sz="1800" b="1">
            <a:solidFill>
              <a:schemeClr val="bg1"/>
            </a:solidFill>
            <a:latin typeface="Helvetice"/>
          </a:endParaRPr>
        </a:p>
      </xdr:txBody>
    </xdr:sp>
    <xdr:clientData/>
  </xdr:twoCellAnchor>
  <xdr:twoCellAnchor editAs="oneCell">
    <xdr:from>
      <xdr:col>16</xdr:col>
      <xdr:colOff>66675</xdr:colOff>
      <xdr:row>5</xdr:row>
      <xdr:rowOff>17859</xdr:rowOff>
    </xdr:from>
    <xdr:to>
      <xdr:col>16</xdr:col>
      <xdr:colOff>381000</xdr:colOff>
      <xdr:row>6</xdr:row>
      <xdr:rowOff>104775</xdr:rowOff>
    </xdr:to>
    <xdr:pic>
      <xdr:nvPicPr>
        <xdr:cNvPr id="59" name="Graphic 58" descr="Hamburger Menu Icon with solid fill">
          <a:hlinkClick xmlns:r="http://schemas.openxmlformats.org/officeDocument/2006/relationships" r:id="rId3" tooltip="Go to Data"/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039475" y="1017984"/>
          <a:ext cx="314325" cy="286941"/>
        </a:xfrm>
        <a:prstGeom prst="rect">
          <a:avLst/>
        </a:prstGeom>
      </xdr:spPr>
    </xdr:pic>
    <xdr:clientData/>
  </xdr:twoCellAnchor>
  <xdr:twoCellAnchor>
    <xdr:from>
      <xdr:col>1</xdr:col>
      <xdr:colOff>446886</xdr:colOff>
      <xdr:row>9</xdr:row>
      <xdr:rowOff>197357</xdr:rowOff>
    </xdr:from>
    <xdr:to>
      <xdr:col>6</xdr:col>
      <xdr:colOff>8738</xdr:colOff>
      <xdr:row>20</xdr:row>
      <xdr:rowOff>39323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1130445" y="2012710"/>
          <a:ext cx="2979646" cy="2060731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215900" dist="76200" dir="2700000" algn="tl" rotWithShape="0">
            <a:prstClr val="black">
              <a:alpha val="11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ddddddddddddddddddddddddddddddddddddddd</a:t>
          </a:r>
        </a:p>
      </xdr:txBody>
    </xdr:sp>
    <xdr:clientData/>
  </xdr:twoCellAnchor>
  <xdr:twoCellAnchor>
    <xdr:from>
      <xdr:col>6</xdr:col>
      <xdr:colOff>229562</xdr:colOff>
      <xdr:row>10</xdr:row>
      <xdr:rowOff>29268</xdr:rowOff>
    </xdr:from>
    <xdr:to>
      <xdr:col>11</xdr:col>
      <xdr:colOff>67235</xdr:colOff>
      <xdr:row>20</xdr:row>
      <xdr:rowOff>72940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>
        <a:xfrm>
          <a:off x="4330915" y="2046327"/>
          <a:ext cx="3255467" cy="2060731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215900" dist="76200" dir="2700000" algn="tl" rotWithShape="0">
            <a:prstClr val="black">
              <a:alpha val="11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ddddddddddddddddddddddddddddddddddddddd</a:t>
          </a:r>
        </a:p>
      </xdr:txBody>
    </xdr:sp>
    <xdr:clientData/>
  </xdr:twoCellAnchor>
  <xdr:twoCellAnchor>
    <xdr:from>
      <xdr:col>11</xdr:col>
      <xdr:colOff>313765</xdr:colOff>
      <xdr:row>9</xdr:row>
      <xdr:rowOff>197357</xdr:rowOff>
    </xdr:from>
    <xdr:to>
      <xdr:col>16</xdr:col>
      <xdr:colOff>261745</xdr:colOff>
      <xdr:row>20</xdr:row>
      <xdr:rowOff>39323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7832912" y="2012710"/>
          <a:ext cx="3365774" cy="2060731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215900" dist="76200" dir="2700000" algn="tl" rotWithShape="0">
            <a:prstClr val="black">
              <a:alpha val="11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ddddddddddddddddddddddddddddddddddddddd</a:t>
          </a:r>
        </a:p>
      </xdr:txBody>
    </xdr:sp>
    <xdr:clientData/>
  </xdr:twoCellAnchor>
  <xdr:twoCellAnchor>
    <xdr:from>
      <xdr:col>6</xdr:col>
      <xdr:colOff>112058</xdr:colOff>
      <xdr:row>11</xdr:row>
      <xdr:rowOff>141753</xdr:rowOff>
    </xdr:from>
    <xdr:to>
      <xdr:col>11</xdr:col>
      <xdr:colOff>39884</xdr:colOff>
      <xdr:row>13</xdr:row>
      <xdr:rowOff>112059</xdr:rowOff>
    </xdr:to>
    <xdr:sp macro="" textlink="Formulas!AS6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4213411" y="2360518"/>
          <a:ext cx="3345620" cy="373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B3B7E51-AC57-40C1-AC0F-8AFC998242CB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59,173 </a:t>
          </a:fld>
          <a:endParaRPr lang="en-US" sz="32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6</xdr:col>
      <xdr:colOff>163897</xdr:colOff>
      <xdr:row>10</xdr:row>
      <xdr:rowOff>11044</xdr:rowOff>
    </xdr:from>
    <xdr:to>
      <xdr:col>10</xdr:col>
      <xdr:colOff>280517</xdr:colOff>
      <xdr:row>11</xdr:row>
      <xdr:rowOff>127187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4265250" y="2028103"/>
          <a:ext cx="2850855" cy="317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>
              <a:latin typeface="+mj-lt"/>
            </a:rPr>
            <a:t>Total Sales</a:t>
          </a:r>
        </a:p>
      </xdr:txBody>
    </xdr:sp>
    <xdr:clientData/>
  </xdr:twoCellAnchor>
  <xdr:twoCellAnchor>
    <xdr:from>
      <xdr:col>11</xdr:col>
      <xdr:colOff>337204</xdr:colOff>
      <xdr:row>10</xdr:row>
      <xdr:rowOff>18420</xdr:rowOff>
    </xdr:from>
    <xdr:to>
      <xdr:col>15</xdr:col>
      <xdr:colOff>453824</xdr:colOff>
      <xdr:row>11</xdr:row>
      <xdr:rowOff>53373</xdr:rowOff>
    </xdr:to>
    <xdr:sp macro="" textlink="Formulas!#REF!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7856351" y="2035479"/>
          <a:ext cx="2850855" cy="2366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105DEE5-0752-4506-AAF0-CEED78D30F8A}" type="TxLink">
            <a:rPr lang="en-US" sz="1800" b="0" i="0" u="none" strike="noStrike">
              <a:solidFill>
                <a:srgbClr val="000000"/>
              </a:solidFill>
              <a:latin typeface="+mj-lt"/>
              <a:cs typeface="Calibri"/>
            </a:rPr>
            <a:pPr algn="l"/>
            <a:t>Final Profits</a:t>
          </a:fld>
          <a:endParaRPr lang="en-US" sz="1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17</xdr:col>
      <xdr:colOff>33617</xdr:colOff>
      <xdr:row>34</xdr:row>
      <xdr:rowOff>78441</xdr:rowOff>
    </xdr:from>
    <xdr:to>
      <xdr:col>18</xdr:col>
      <xdr:colOff>425823</xdr:colOff>
      <xdr:row>36</xdr:row>
      <xdr:rowOff>6883</xdr:rowOff>
    </xdr:to>
    <xdr:sp macro="" textlink="Formulas!K12">
      <xdr:nvSpPr>
        <xdr:cNvPr id="67" name="TextBox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11654117" y="6936441"/>
          <a:ext cx="1075765" cy="331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F0DDFF3-3FE0-4088-9F39-DF6544E4B9DB}" type="TxLink">
            <a:rPr lang="en-US" sz="280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2022</a:t>
          </a:fld>
          <a:endParaRPr lang="en-US" sz="2400" b="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138951</xdr:colOff>
      <xdr:row>36</xdr:row>
      <xdr:rowOff>64361</xdr:rowOff>
    </xdr:from>
    <xdr:to>
      <xdr:col>18</xdr:col>
      <xdr:colOff>358588</xdr:colOff>
      <xdr:row>37</xdr:row>
      <xdr:rowOff>156880</xdr:rowOff>
    </xdr:to>
    <xdr:sp macro="" textlink="Formulas!K13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11759451" y="7325773"/>
          <a:ext cx="903196" cy="294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3E4948B-8FCE-492B-BA49-0717DDD6EBE5}" type="TxLink">
            <a:rPr lang="en-US" sz="1800" b="1" i="0" u="none" strike="noStrike">
              <a:solidFill>
                <a:schemeClr val="tx1">
                  <a:alpha val="50000"/>
                </a:schemeClr>
              </a:solidFill>
              <a:latin typeface="Calibri"/>
              <a:cs typeface="Calibri"/>
            </a:rPr>
            <a:pPr algn="ctr"/>
            <a:t>2021</a:t>
          </a:fld>
          <a:endParaRPr lang="en-US" sz="1600" b="1">
            <a:solidFill>
              <a:schemeClr val="tx1">
                <a:alpha val="50000"/>
              </a:schemeClr>
            </a:solidFill>
          </a:endParaRPr>
        </a:p>
      </xdr:txBody>
    </xdr:sp>
    <xdr:clientData/>
  </xdr:twoCellAnchor>
  <xdr:twoCellAnchor>
    <xdr:from>
      <xdr:col>17</xdr:col>
      <xdr:colOff>138952</xdr:colOff>
      <xdr:row>38</xdr:row>
      <xdr:rowOff>8264</xdr:rowOff>
    </xdr:from>
    <xdr:to>
      <xdr:col>18</xdr:col>
      <xdr:colOff>299979</xdr:colOff>
      <xdr:row>39</xdr:row>
      <xdr:rowOff>100852</xdr:rowOff>
    </xdr:to>
    <xdr:sp macro="" textlink="Formulas!K14">
      <xdr:nvSpPr>
        <xdr:cNvPr id="72" name="TextBox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11759452" y="7673088"/>
          <a:ext cx="844586" cy="294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45C57B9-2E09-4459-B310-4D46207C9CEF}" type="TxLink">
            <a:rPr lang="en-US" sz="1600" b="1" i="0" u="none" strike="noStrike">
              <a:solidFill>
                <a:schemeClr val="tx1">
                  <a:alpha val="50000"/>
                </a:schemeClr>
              </a:solidFill>
              <a:latin typeface="Calibri"/>
              <a:cs typeface="Calibri"/>
            </a:rPr>
            <a:pPr algn="ctr"/>
            <a:t>2020</a:t>
          </a:fld>
          <a:endParaRPr lang="en-US" sz="1400" b="1">
            <a:solidFill>
              <a:schemeClr val="tx1">
                <a:alpha val="50000"/>
              </a:schemeClr>
            </a:solidFill>
          </a:endParaRPr>
        </a:p>
      </xdr:txBody>
    </xdr:sp>
    <xdr:clientData/>
  </xdr:twoCellAnchor>
  <xdr:twoCellAnchor>
    <xdr:from>
      <xdr:col>17</xdr:col>
      <xdr:colOff>128198</xdr:colOff>
      <xdr:row>39</xdr:row>
      <xdr:rowOff>142667</xdr:rowOff>
    </xdr:from>
    <xdr:to>
      <xdr:col>18</xdr:col>
      <xdr:colOff>310732</xdr:colOff>
      <xdr:row>41</xdr:row>
      <xdr:rowOff>56028</xdr:rowOff>
    </xdr:to>
    <xdr:sp macro="" textlink="Formulas!K15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11748698" y="8009196"/>
          <a:ext cx="866093" cy="316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AE19EB4-17BE-42B9-B2AF-58657535F31E}" type="TxLink">
            <a:rPr lang="en-US" sz="1400" b="1" i="0" u="none" strike="noStrike">
              <a:solidFill>
                <a:schemeClr val="tx1">
                  <a:alpha val="50000"/>
                </a:schemeClr>
              </a:solidFill>
              <a:latin typeface="Calibri"/>
              <a:cs typeface="Calibri"/>
            </a:rPr>
            <a:pPr algn="ctr"/>
            <a:t>2019</a:t>
          </a:fld>
          <a:endParaRPr lang="en-US" sz="1200" b="1">
            <a:solidFill>
              <a:schemeClr val="tx1">
                <a:alpha val="50000"/>
              </a:schemeClr>
            </a:solidFill>
          </a:endParaRPr>
        </a:p>
      </xdr:txBody>
    </xdr:sp>
    <xdr:clientData/>
  </xdr:twoCellAnchor>
  <xdr:twoCellAnchor>
    <xdr:from>
      <xdr:col>1</xdr:col>
      <xdr:colOff>358587</xdr:colOff>
      <xdr:row>23</xdr:row>
      <xdr:rowOff>22414</xdr:rowOff>
    </xdr:from>
    <xdr:to>
      <xdr:col>16</xdr:col>
      <xdr:colOff>257734</xdr:colOff>
      <xdr:row>40</xdr:row>
      <xdr:rowOff>112060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425263</xdr:colOff>
      <xdr:row>41</xdr:row>
      <xdr:rowOff>128029</xdr:rowOff>
    </xdr:from>
    <xdr:to>
      <xdr:col>15</xdr:col>
      <xdr:colOff>600636</xdr:colOff>
      <xdr:row>44</xdr:row>
      <xdr:rowOff>44823</xdr:rowOff>
    </xdr:to>
    <xdr:grpSp>
      <xdr:nvGrpSpPr>
        <xdr:cNvPr id="4201" name="Group 4200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GrpSpPr/>
      </xdr:nvGrpSpPr>
      <xdr:grpSpPr>
        <a:xfrm>
          <a:off x="1810718" y="8648574"/>
          <a:ext cx="9180827" cy="540249"/>
          <a:chOff x="1736351" y="8633293"/>
          <a:chExt cx="9061637" cy="521912"/>
        </a:xfrm>
      </xdr:grpSpPr>
      <xdr:sp macro="" textlink="">
        <xdr:nvSpPr>
          <xdr:cNvPr id="76" name="TextBox 75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SpPr txBox="1"/>
        </xdr:nvSpPr>
        <xdr:spPr>
          <a:xfrm>
            <a:off x="1736351" y="8633293"/>
            <a:ext cx="1636619" cy="52191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Current</a:t>
            </a:r>
            <a:r>
              <a:rPr lang="en-US" sz="1100" b="1" baseline="0">
                <a:latin typeface="Helvetice"/>
              </a:rPr>
              <a:t> all-time Value</a:t>
            </a:r>
            <a:endParaRPr lang="en-US" sz="1100" b="1">
              <a:latin typeface="Helvetice"/>
            </a:endParaRPr>
          </a:p>
        </xdr:txBody>
      </xdr:sp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00000000-0008-0000-0200-00004D000000}"/>
              </a:ext>
            </a:extLst>
          </xdr:cNvPr>
          <xdr:cNvSpPr txBox="1"/>
        </xdr:nvSpPr>
        <xdr:spPr>
          <a:xfrm>
            <a:off x="3888427" y="8633293"/>
            <a:ext cx="1257131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First</a:t>
            </a:r>
            <a:r>
              <a:rPr lang="en-US" sz="1100" b="1" baseline="0">
                <a:latin typeface="Helvetice"/>
              </a:rPr>
              <a:t> Quarter	</a:t>
            </a:r>
            <a:endParaRPr lang="en-US" sz="1100" b="1">
              <a:latin typeface="Helvetice"/>
            </a:endParaRPr>
          </a:p>
        </xdr:txBody>
      </xdr: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00000000-0008-0000-0200-00004E000000}"/>
              </a:ext>
            </a:extLst>
          </xdr:cNvPr>
          <xdr:cNvSpPr txBox="1"/>
        </xdr:nvSpPr>
        <xdr:spPr>
          <a:xfrm>
            <a:off x="5773075" y="8633293"/>
            <a:ext cx="1257131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Second Quarter</a:t>
            </a:r>
          </a:p>
        </xdr:txBody>
      </xdr: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SpPr txBox="1"/>
        </xdr:nvSpPr>
        <xdr:spPr>
          <a:xfrm>
            <a:off x="7657723" y="8633293"/>
            <a:ext cx="1257131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Third Quarter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 txBox="1"/>
        </xdr:nvSpPr>
        <xdr:spPr>
          <a:xfrm>
            <a:off x="9542370" y="8633293"/>
            <a:ext cx="1255618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Fourth Quarter</a:t>
            </a:r>
          </a:p>
        </xdr:txBody>
      </xdr:sp>
    </xdr:grpSp>
    <xdr:clientData/>
  </xdr:twoCellAnchor>
  <xdr:twoCellAnchor>
    <xdr:from>
      <xdr:col>2</xdr:col>
      <xdr:colOff>407333</xdr:colOff>
      <xdr:row>40</xdr:row>
      <xdr:rowOff>131950</xdr:rowOff>
    </xdr:from>
    <xdr:to>
      <xdr:col>4</xdr:col>
      <xdr:colOff>493057</xdr:colOff>
      <xdr:row>43</xdr:row>
      <xdr:rowOff>36700</xdr:rowOff>
    </xdr:to>
    <xdr:sp macro="" textlink="Formulas!AE6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1774451" y="8200185"/>
          <a:ext cx="1452841" cy="509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FECEE21-5740-4F53-BA26-43B62F19CDB2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28322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441315</xdr:colOff>
      <xdr:row>40</xdr:row>
      <xdr:rowOff>131950</xdr:rowOff>
    </xdr:from>
    <xdr:to>
      <xdr:col>7</xdr:col>
      <xdr:colOff>329816</xdr:colOff>
      <xdr:row>43</xdr:row>
      <xdr:rowOff>36700</xdr:rowOff>
    </xdr:to>
    <xdr:sp macro="" textlink="Formulas!AE7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3859109" y="8200185"/>
          <a:ext cx="1255619" cy="509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678D50B-91E2-45E8-BC03-642500A5A628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7269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278074</xdr:colOff>
      <xdr:row>40</xdr:row>
      <xdr:rowOff>131950</xdr:rowOff>
    </xdr:from>
    <xdr:to>
      <xdr:col>10</xdr:col>
      <xdr:colOff>168088</xdr:colOff>
      <xdr:row>43</xdr:row>
      <xdr:rowOff>36700</xdr:rowOff>
    </xdr:to>
    <xdr:sp macro="" textlink="Formulas!AE8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5746545" y="8200185"/>
          <a:ext cx="1257131" cy="509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ABF5797-C531-4AFA-8024-818ADA24A899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7606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116346</xdr:colOff>
      <xdr:row>40</xdr:row>
      <xdr:rowOff>131950</xdr:rowOff>
    </xdr:from>
    <xdr:to>
      <xdr:col>13</xdr:col>
      <xdr:colOff>6359</xdr:colOff>
      <xdr:row>43</xdr:row>
      <xdr:rowOff>36700</xdr:rowOff>
    </xdr:to>
    <xdr:sp macro="" textlink="Formulas!AE9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7635493" y="8200185"/>
          <a:ext cx="1257131" cy="509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A4C17E-04A6-46E6-9288-81D04D89F99E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6774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638174</xdr:colOff>
      <xdr:row>40</xdr:row>
      <xdr:rowOff>131950</xdr:rowOff>
    </xdr:from>
    <xdr:to>
      <xdr:col>15</xdr:col>
      <xdr:colOff>526675</xdr:colOff>
      <xdr:row>43</xdr:row>
      <xdr:rowOff>36700</xdr:rowOff>
    </xdr:to>
    <xdr:sp macro="" textlink="Formulas!AE10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9524439" y="8200185"/>
          <a:ext cx="1255618" cy="509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39D435E-4EEE-48CA-B8C2-AF4F62997CB4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6673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165846</xdr:colOff>
      <xdr:row>21</xdr:row>
      <xdr:rowOff>89647</xdr:rowOff>
    </xdr:from>
    <xdr:to>
      <xdr:col>6</xdr:col>
      <xdr:colOff>324971</xdr:colOff>
      <xdr:row>23</xdr:row>
      <xdr:rowOff>103656</xdr:rowOff>
    </xdr:to>
    <xdr:sp macro="" textlink="Formulas!AG6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1532964" y="4325471"/>
          <a:ext cx="2893360" cy="417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</a:rPr>
            <a:t>Purchases</a:t>
          </a:r>
          <a:r>
            <a:rPr lang="en-US" sz="1600" b="1" baseline="0">
              <a:solidFill>
                <a:sysClr val="windowText" lastClr="000000"/>
              </a:solidFill>
            </a:rPr>
            <a:t> Items by Week 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411255</xdr:colOff>
      <xdr:row>11</xdr:row>
      <xdr:rowOff>182654</xdr:rowOff>
    </xdr:from>
    <xdr:to>
      <xdr:col>3</xdr:col>
      <xdr:colOff>459442</xdr:colOff>
      <xdr:row>13</xdr:row>
      <xdr:rowOff>107107</xdr:rowOff>
    </xdr:to>
    <xdr:sp macro="" textlink="Formulas!AQ6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1094814" y="2401419"/>
          <a:ext cx="1415304" cy="327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E6558FF-D114-440B-99E7-0F50D276D46A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8,239 </a:t>
          </a:fld>
          <a:endParaRPr lang="en-US" sz="32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6</xdr:col>
      <xdr:colOff>212351</xdr:colOff>
      <xdr:row>16</xdr:row>
      <xdr:rowOff>35297</xdr:rowOff>
    </xdr:from>
    <xdr:to>
      <xdr:col>7</xdr:col>
      <xdr:colOff>235323</xdr:colOff>
      <xdr:row>17</xdr:row>
      <xdr:rowOff>132228</xdr:rowOff>
    </xdr:to>
    <xdr:sp macro="" textlink="Formulas!AS7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4313704" y="3262591"/>
          <a:ext cx="706531" cy="298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F124D93-B12E-48C7-B1A0-F9C366D0F670}" type="TxLink">
            <a:rPr lang="en-US" sz="22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r"/>
            <a:t>69%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6</xdr:col>
      <xdr:colOff>202827</xdr:colOff>
      <xdr:row>18</xdr:row>
      <xdr:rowOff>63873</xdr:rowOff>
    </xdr:from>
    <xdr:to>
      <xdr:col>7</xdr:col>
      <xdr:colOff>225799</xdr:colOff>
      <xdr:row>19</xdr:row>
      <xdr:rowOff>159123</xdr:rowOff>
    </xdr:to>
    <xdr:sp macro="" textlink="Formulas!AS8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4304180" y="3694579"/>
          <a:ext cx="706531" cy="296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9FB30420-0548-4C9A-9EC5-59DF2FA40AF2}" type="TxLink">
            <a:rPr lang="en-US" sz="22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r"/>
            <a:t>31%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</xdr:col>
      <xdr:colOff>476250</xdr:colOff>
      <xdr:row>10</xdr:row>
      <xdr:rowOff>19049</xdr:rowOff>
    </xdr:from>
    <xdr:to>
      <xdr:col>5</xdr:col>
      <xdr:colOff>595226</xdr:colOff>
      <xdr:row>11</xdr:row>
      <xdr:rowOff>114299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1162050" y="2019299"/>
          <a:ext cx="2862176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0">
              <a:solidFill>
                <a:sysClr val="windowText" lastClr="000000"/>
              </a:solidFill>
              <a:latin typeface="+mj-lt"/>
            </a:rPr>
            <a:t>Purchases Items</a:t>
          </a:r>
        </a:p>
      </xdr:txBody>
    </xdr:sp>
    <xdr:clientData/>
  </xdr:twoCellAnchor>
  <xdr:twoCellAnchor>
    <xdr:from>
      <xdr:col>11</xdr:col>
      <xdr:colOff>190498</xdr:colOff>
      <xdr:row>11</xdr:row>
      <xdr:rowOff>129426</xdr:rowOff>
    </xdr:from>
    <xdr:to>
      <xdr:col>16</xdr:col>
      <xdr:colOff>110931</xdr:colOff>
      <xdr:row>13</xdr:row>
      <xdr:rowOff>88344</xdr:rowOff>
    </xdr:to>
    <xdr:sp macro="" textlink="Formulas!AT6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7709645" y="2348191"/>
          <a:ext cx="3338227" cy="362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A8F7A4D-0088-4FB1-BD6C-3C0E71F6AE49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238,597 </a:t>
          </a:fld>
          <a:endParaRPr lang="en-US" sz="32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11</xdr:col>
      <xdr:colOff>235324</xdr:colOff>
      <xdr:row>18</xdr:row>
      <xdr:rowOff>16246</xdr:rowOff>
    </xdr:from>
    <xdr:to>
      <xdr:col>12</xdr:col>
      <xdr:colOff>623608</xdr:colOff>
      <xdr:row>19</xdr:row>
      <xdr:rowOff>113177</xdr:rowOff>
    </xdr:to>
    <xdr:sp macro="" textlink="Formulas!AT7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7754471" y="3646952"/>
          <a:ext cx="1071843" cy="298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7011872-5D58-4597-9C52-0C1E344853E9}" type="TxLink">
            <a:rPr lang="en-US" sz="22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18,954 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14</xdr:col>
      <xdr:colOff>367552</xdr:colOff>
      <xdr:row>18</xdr:row>
      <xdr:rowOff>48184</xdr:rowOff>
    </xdr:from>
    <xdr:to>
      <xdr:col>15</xdr:col>
      <xdr:colOff>670111</xdr:colOff>
      <xdr:row>19</xdr:row>
      <xdr:rowOff>145115</xdr:rowOff>
    </xdr:to>
    <xdr:sp macro="" textlink="Formulas!AT8">
      <xdr:nvSpPr>
        <xdr:cNvPr id="96" name="TextBox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9937376" y="3678890"/>
          <a:ext cx="986117" cy="298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7486C09-BA6B-4645-85CF-5C50F5BBCB8A}" type="TxLink">
            <a:rPr lang="en-US" sz="22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5,772 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57150</xdr:rowOff>
        </xdr:from>
        <xdr:to>
          <xdr:col>6</xdr:col>
          <xdr:colOff>19050</xdr:colOff>
          <xdr:row>11</xdr:row>
          <xdr:rowOff>66675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10</xdr:row>
          <xdr:rowOff>95250</xdr:rowOff>
        </xdr:from>
        <xdr:to>
          <xdr:col>11</xdr:col>
          <xdr:colOff>38100</xdr:colOff>
          <xdr:row>11</xdr:row>
          <xdr:rowOff>104775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371475</xdr:colOff>
          <xdr:row>22</xdr:row>
          <xdr:rowOff>104775</xdr:rowOff>
        </xdr:from>
        <xdr:to>
          <xdr:col>18</xdr:col>
          <xdr:colOff>57150</xdr:colOff>
          <xdr:row>34</xdr:row>
          <xdr:rowOff>66675</xdr:rowOff>
        </xdr:to>
        <xdr:sp macro="" textlink="">
          <xdr:nvSpPr>
            <xdr:cNvPr id="4104" name="Spinner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581025</xdr:colOff>
          <xdr:row>10</xdr:row>
          <xdr:rowOff>57150</xdr:rowOff>
        </xdr:from>
        <xdr:to>
          <xdr:col>16</xdr:col>
          <xdr:colOff>200025</xdr:colOff>
          <xdr:row>11</xdr:row>
          <xdr:rowOff>76200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425824</xdr:colOff>
      <xdr:row>14</xdr:row>
      <xdr:rowOff>67234</xdr:rowOff>
    </xdr:from>
    <xdr:to>
      <xdr:col>6</xdr:col>
      <xdr:colOff>0</xdr:colOff>
      <xdr:row>18</xdr:row>
      <xdr:rowOff>100852</xdr:rowOff>
    </xdr:to>
    <xdr:grpSp>
      <xdr:nvGrpSpPr>
        <xdr:cNvPr id="4167" name="Group 4166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GrpSpPr/>
      </xdr:nvGrpSpPr>
      <xdr:grpSpPr>
        <a:xfrm>
          <a:off x="1118551" y="2976689"/>
          <a:ext cx="3037813" cy="864890"/>
          <a:chOff x="45603440" y="4533020"/>
          <a:chExt cx="4855972" cy="1783226"/>
        </a:xfrm>
      </xdr:grpSpPr>
      <xdr:graphicFrame macro="">
        <xdr:nvGraphicFramePr>
          <xdr:cNvPr id="4168" name="Chart 4167">
            <a:extLst>
              <a:ext uri="{FF2B5EF4-FFF2-40B4-BE49-F238E27FC236}">
                <a16:creationId xmlns:a16="http://schemas.microsoft.com/office/drawing/2014/main" id="{00000000-0008-0000-0200-000048100000}"/>
              </a:ext>
            </a:extLst>
          </xdr:cNvPr>
          <xdr:cNvGraphicFramePr/>
        </xdr:nvGraphicFramePr>
        <xdr:xfrm>
          <a:off x="45887413" y="4533020"/>
          <a:ext cx="4571999" cy="17423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4169" name="Chart 4168">
            <a:extLst>
              <a:ext uri="{FF2B5EF4-FFF2-40B4-BE49-F238E27FC236}">
                <a16:creationId xmlns:a16="http://schemas.microsoft.com/office/drawing/2014/main" id="{00000000-0008-0000-0200-000049100000}"/>
              </a:ext>
            </a:extLst>
          </xdr:cNvPr>
          <xdr:cNvGraphicFramePr>
            <a:graphicFrameLocks/>
          </xdr:cNvGraphicFramePr>
        </xdr:nvGraphicFramePr>
        <xdr:xfrm>
          <a:off x="45603440" y="5075245"/>
          <a:ext cx="4674954" cy="1241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</xdr:col>
      <xdr:colOff>537882</xdr:colOff>
      <xdr:row>16</xdr:row>
      <xdr:rowOff>112059</xdr:rowOff>
    </xdr:from>
    <xdr:to>
      <xdr:col>5</xdr:col>
      <xdr:colOff>470647</xdr:colOff>
      <xdr:row>17</xdr:row>
      <xdr:rowOff>78441</xdr:rowOff>
    </xdr:to>
    <xdr:sp macro="" textlink="">
      <xdr:nvSpPr>
        <xdr:cNvPr id="4170" name="Rectangle: Rounded Corners 4169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/>
      </xdr:nvSpPr>
      <xdr:spPr>
        <a:xfrm>
          <a:off x="1221441" y="3339353"/>
          <a:ext cx="2667000" cy="168088"/>
        </a:xfrm>
        <a:prstGeom prst="roundRect">
          <a:avLst>
            <a:gd name="adj" fmla="val 50000"/>
          </a:avLst>
        </a:prstGeom>
        <a:noFill/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465525</xdr:colOff>
      <xdr:row>18</xdr:row>
      <xdr:rowOff>104855</xdr:rowOff>
    </xdr:from>
    <xdr:to>
      <xdr:col>5</xdr:col>
      <xdr:colOff>582145</xdr:colOff>
      <xdr:row>19</xdr:row>
      <xdr:rowOff>136632</xdr:rowOff>
    </xdr:to>
    <xdr:sp macro="" textlink="">
      <xdr:nvSpPr>
        <xdr:cNvPr id="4172" name="TextBox 4171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 txBox="1"/>
      </xdr:nvSpPr>
      <xdr:spPr>
        <a:xfrm>
          <a:off x="1149084" y="3735561"/>
          <a:ext cx="2850855" cy="233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rgbClr val="003366"/>
              </a:solidFill>
              <a:latin typeface="Helvetice"/>
            </a:rPr>
            <a:t>Purchases</a:t>
          </a:r>
          <a:r>
            <a:rPr lang="en-US" sz="1200" b="1" baseline="0">
              <a:solidFill>
                <a:srgbClr val="003366"/>
              </a:solidFill>
              <a:latin typeface="Helvetice"/>
            </a:rPr>
            <a:t> Returns Rate</a:t>
          </a:r>
          <a:endParaRPr lang="en-US" sz="1200" b="1">
            <a:solidFill>
              <a:srgbClr val="003366"/>
            </a:solidFill>
            <a:latin typeface="Helvetice"/>
          </a:endParaRPr>
        </a:p>
      </xdr:txBody>
    </xdr:sp>
    <xdr:clientData/>
  </xdr:twoCellAnchor>
  <xdr:twoCellAnchor>
    <xdr:from>
      <xdr:col>1</xdr:col>
      <xdr:colOff>481853</xdr:colOff>
      <xdr:row>14</xdr:row>
      <xdr:rowOff>44824</xdr:rowOff>
    </xdr:from>
    <xdr:to>
      <xdr:col>5</xdr:col>
      <xdr:colOff>661147</xdr:colOff>
      <xdr:row>14</xdr:row>
      <xdr:rowOff>56030</xdr:rowOff>
    </xdr:to>
    <xdr:cxnSp macro="">
      <xdr:nvCxnSpPr>
        <xdr:cNvPr id="4174" name="Straight Connector 4173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CxnSpPr/>
      </xdr:nvCxnSpPr>
      <xdr:spPr>
        <a:xfrm flipV="1">
          <a:off x="1165412" y="2868706"/>
          <a:ext cx="2913529" cy="11206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302559</xdr:colOff>
      <xdr:row>15</xdr:row>
      <xdr:rowOff>100853</xdr:rowOff>
    </xdr:from>
    <xdr:to>
      <xdr:col>15</xdr:col>
      <xdr:colOff>571500</xdr:colOff>
      <xdr:row>15</xdr:row>
      <xdr:rowOff>112059</xdr:rowOff>
    </xdr:to>
    <xdr:cxnSp macro="">
      <xdr:nvCxnSpPr>
        <xdr:cNvPr id="4179" name="Straight Connector 4178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CxnSpPr/>
      </xdr:nvCxnSpPr>
      <xdr:spPr>
        <a:xfrm flipV="1">
          <a:off x="7821706" y="3126441"/>
          <a:ext cx="3003176" cy="11206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129350</xdr:colOff>
      <xdr:row>16</xdr:row>
      <xdr:rowOff>78440</xdr:rowOff>
    </xdr:from>
    <xdr:to>
      <xdr:col>10</xdr:col>
      <xdr:colOff>313766</xdr:colOff>
      <xdr:row>17</xdr:row>
      <xdr:rowOff>125425</xdr:rowOff>
    </xdr:to>
    <xdr:sp macro="" textlink="">
      <xdr:nvSpPr>
        <xdr:cNvPr id="4181" name="TextBox 4180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 txBox="1"/>
      </xdr:nvSpPr>
      <xdr:spPr>
        <a:xfrm>
          <a:off x="4914262" y="3305734"/>
          <a:ext cx="2235092" cy="248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Helvetice"/>
            </a:rPr>
            <a:t>Branches</a:t>
          </a:r>
        </a:p>
      </xdr:txBody>
    </xdr:sp>
    <xdr:clientData/>
  </xdr:twoCellAnchor>
  <xdr:twoCellAnchor>
    <xdr:from>
      <xdr:col>7</xdr:col>
      <xdr:colOff>118143</xdr:colOff>
      <xdr:row>18</xdr:row>
      <xdr:rowOff>100851</xdr:rowOff>
    </xdr:from>
    <xdr:to>
      <xdr:col>10</xdr:col>
      <xdr:colOff>302559</xdr:colOff>
      <xdr:row>19</xdr:row>
      <xdr:rowOff>147836</xdr:rowOff>
    </xdr:to>
    <xdr:sp macro="" textlink="">
      <xdr:nvSpPr>
        <xdr:cNvPr id="4182" name="TextBox 4181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 txBox="1"/>
      </xdr:nvSpPr>
      <xdr:spPr>
        <a:xfrm>
          <a:off x="4903055" y="3731557"/>
          <a:ext cx="2235092" cy="248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Helvetice"/>
            </a:rPr>
            <a:t>Representatives</a:t>
          </a:r>
        </a:p>
      </xdr:txBody>
    </xdr:sp>
    <xdr:clientData/>
  </xdr:twoCellAnchor>
  <xdr:twoCellAnchor>
    <xdr:from>
      <xdr:col>8</xdr:col>
      <xdr:colOff>22412</xdr:colOff>
      <xdr:row>11</xdr:row>
      <xdr:rowOff>190500</xdr:rowOff>
    </xdr:from>
    <xdr:to>
      <xdr:col>11</xdr:col>
      <xdr:colOff>493059</xdr:colOff>
      <xdr:row>19</xdr:row>
      <xdr:rowOff>177693</xdr:rowOff>
    </xdr:to>
    <xdr:graphicFrame macro="">
      <xdr:nvGraphicFramePr>
        <xdr:cNvPr id="4183" name="Chart 4182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313765</xdr:colOff>
      <xdr:row>35</xdr:row>
      <xdr:rowOff>33619</xdr:rowOff>
    </xdr:from>
    <xdr:to>
      <xdr:col>2</xdr:col>
      <xdr:colOff>134471</xdr:colOff>
      <xdr:row>36</xdr:row>
      <xdr:rowOff>89647</xdr:rowOff>
    </xdr:to>
    <xdr:sp macro="" textlink="">
      <xdr:nvSpPr>
        <xdr:cNvPr id="4184" name="Rectangle: Rounded Corners 4183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/>
      </xdr:nvSpPr>
      <xdr:spPr>
        <a:xfrm>
          <a:off x="997324" y="7093325"/>
          <a:ext cx="504265" cy="257734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481854</xdr:colOff>
      <xdr:row>38</xdr:row>
      <xdr:rowOff>78441</xdr:rowOff>
    </xdr:from>
    <xdr:to>
      <xdr:col>2</xdr:col>
      <xdr:colOff>156883</xdr:colOff>
      <xdr:row>39</xdr:row>
      <xdr:rowOff>67236</xdr:rowOff>
    </xdr:to>
    <xdr:sp macro="" textlink="">
      <xdr:nvSpPr>
        <xdr:cNvPr id="4186" name="Rectangle 4185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/>
      </xdr:nvSpPr>
      <xdr:spPr>
        <a:xfrm>
          <a:off x="1165413" y="7743265"/>
          <a:ext cx="358588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392206</xdr:colOff>
      <xdr:row>40</xdr:row>
      <xdr:rowOff>190503</xdr:rowOff>
    </xdr:from>
    <xdr:to>
      <xdr:col>16</xdr:col>
      <xdr:colOff>235325</xdr:colOff>
      <xdr:row>43</xdr:row>
      <xdr:rowOff>123267</xdr:rowOff>
    </xdr:to>
    <xdr:grpSp>
      <xdr:nvGrpSpPr>
        <xdr:cNvPr id="4196" name="Group 4195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GrpSpPr/>
      </xdr:nvGrpSpPr>
      <xdr:grpSpPr>
        <a:xfrm>
          <a:off x="1777661" y="8503230"/>
          <a:ext cx="9541300" cy="556219"/>
          <a:chOff x="1546412" y="8101854"/>
          <a:chExt cx="9412942" cy="537882"/>
        </a:xfrm>
      </xdr:grpSpPr>
      <xdr:sp macro="" textlink="">
        <xdr:nvSpPr>
          <xdr:cNvPr id="4191" name="Rectangle 4190">
            <a:extLst>
              <a:ext uri="{FF2B5EF4-FFF2-40B4-BE49-F238E27FC236}">
                <a16:creationId xmlns:a16="http://schemas.microsoft.com/office/drawing/2014/main" id="{00000000-0008-0000-0200-00005F100000}"/>
              </a:ext>
            </a:extLst>
          </xdr:cNvPr>
          <xdr:cNvSpPr/>
        </xdr:nvSpPr>
        <xdr:spPr>
          <a:xfrm>
            <a:off x="1546412" y="8101854"/>
            <a:ext cx="1792941" cy="537882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2" name="Rectangle 4191">
            <a:extLst>
              <a:ext uri="{FF2B5EF4-FFF2-40B4-BE49-F238E27FC236}">
                <a16:creationId xmlns:a16="http://schemas.microsoft.com/office/drawing/2014/main" id="{00000000-0008-0000-0200-000060100000}"/>
              </a:ext>
            </a:extLst>
          </xdr:cNvPr>
          <xdr:cNvSpPr/>
        </xdr:nvSpPr>
        <xdr:spPr>
          <a:xfrm>
            <a:off x="3328148" y="8101854"/>
            <a:ext cx="2028264" cy="537882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3" name="Rectangle 4192">
            <a:extLst>
              <a:ext uri="{FF2B5EF4-FFF2-40B4-BE49-F238E27FC236}">
                <a16:creationId xmlns:a16="http://schemas.microsoft.com/office/drawing/2014/main" id="{00000000-0008-0000-0200-000061100000}"/>
              </a:ext>
            </a:extLst>
          </xdr:cNvPr>
          <xdr:cNvSpPr/>
        </xdr:nvSpPr>
        <xdr:spPr>
          <a:xfrm>
            <a:off x="5356412" y="8101854"/>
            <a:ext cx="1792941" cy="537882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4" name="Rectangle 4193">
            <a:extLst>
              <a:ext uri="{FF2B5EF4-FFF2-40B4-BE49-F238E27FC236}">
                <a16:creationId xmlns:a16="http://schemas.microsoft.com/office/drawing/2014/main" id="{00000000-0008-0000-0200-000062100000}"/>
              </a:ext>
            </a:extLst>
          </xdr:cNvPr>
          <xdr:cNvSpPr/>
        </xdr:nvSpPr>
        <xdr:spPr>
          <a:xfrm>
            <a:off x="7149354" y="8101854"/>
            <a:ext cx="1905000" cy="537882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5" name="Rectangle 4194">
            <a:extLst>
              <a:ext uri="{FF2B5EF4-FFF2-40B4-BE49-F238E27FC236}">
                <a16:creationId xmlns:a16="http://schemas.microsoft.com/office/drawing/2014/main" id="{00000000-0008-0000-0200-000063100000}"/>
              </a:ext>
            </a:extLst>
          </xdr:cNvPr>
          <xdr:cNvSpPr/>
        </xdr:nvSpPr>
        <xdr:spPr>
          <a:xfrm>
            <a:off x="9054354" y="8101854"/>
            <a:ext cx="1905000" cy="537882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369793</xdr:colOff>
      <xdr:row>33</xdr:row>
      <xdr:rowOff>123266</xdr:rowOff>
    </xdr:from>
    <xdr:to>
      <xdr:col>18</xdr:col>
      <xdr:colOff>134469</xdr:colOff>
      <xdr:row>34</xdr:row>
      <xdr:rowOff>100854</xdr:rowOff>
    </xdr:to>
    <xdr:sp macro="" textlink="">
      <xdr:nvSpPr>
        <xdr:cNvPr id="4203" name="Rectangle 4202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/>
      </xdr:nvSpPr>
      <xdr:spPr>
        <a:xfrm>
          <a:off x="11990293" y="6779560"/>
          <a:ext cx="448235" cy="179294"/>
        </a:xfrm>
        <a:prstGeom prst="rect">
          <a:avLst/>
        </a:prstGeom>
        <a:solidFill>
          <a:srgbClr val="F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268941</xdr:colOff>
      <xdr:row>25</xdr:row>
      <xdr:rowOff>190500</xdr:rowOff>
    </xdr:from>
    <xdr:to>
      <xdr:col>18</xdr:col>
      <xdr:colOff>246529</xdr:colOff>
      <xdr:row>31</xdr:row>
      <xdr:rowOff>22412</xdr:rowOff>
    </xdr:to>
    <xdr:sp macro="" textlink="">
      <xdr:nvSpPr>
        <xdr:cNvPr id="4204" name="Rectangle 4203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/>
      </xdr:nvSpPr>
      <xdr:spPr>
        <a:xfrm>
          <a:off x="11889441" y="5233147"/>
          <a:ext cx="661147" cy="1042147"/>
        </a:xfrm>
        <a:prstGeom prst="rect">
          <a:avLst/>
        </a:prstGeom>
        <a:solidFill>
          <a:srgbClr val="F0F0F0"/>
        </a:solidFill>
        <a:ln>
          <a:solidFill>
            <a:srgbClr val="F0F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324971</xdr:colOff>
      <xdr:row>22</xdr:row>
      <xdr:rowOff>134472</xdr:rowOff>
    </xdr:from>
    <xdr:to>
      <xdr:col>17</xdr:col>
      <xdr:colOff>459441</xdr:colOff>
      <xdr:row>34</xdr:row>
      <xdr:rowOff>67235</xdr:rowOff>
    </xdr:to>
    <xdr:sp macro="" textlink="">
      <xdr:nvSpPr>
        <xdr:cNvPr id="4205" name="Rectangle 4204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/>
      </xdr:nvSpPr>
      <xdr:spPr>
        <a:xfrm>
          <a:off x="11945471" y="4572001"/>
          <a:ext cx="134470" cy="2353234"/>
        </a:xfrm>
        <a:prstGeom prst="rect">
          <a:avLst/>
        </a:prstGeom>
        <a:solidFill>
          <a:srgbClr val="F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661147</xdr:colOff>
      <xdr:row>22</xdr:row>
      <xdr:rowOff>123265</xdr:rowOff>
    </xdr:from>
    <xdr:to>
      <xdr:col>18</xdr:col>
      <xdr:colOff>201706</xdr:colOff>
      <xdr:row>34</xdr:row>
      <xdr:rowOff>11206</xdr:rowOff>
    </xdr:to>
    <xdr:sp macro="" textlink="">
      <xdr:nvSpPr>
        <xdr:cNvPr id="4206" name="Rectangle 4205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/>
      </xdr:nvSpPr>
      <xdr:spPr>
        <a:xfrm>
          <a:off x="12281647" y="4560794"/>
          <a:ext cx="224118" cy="2308412"/>
        </a:xfrm>
        <a:prstGeom prst="rect">
          <a:avLst/>
        </a:prstGeom>
        <a:solidFill>
          <a:srgbClr val="F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235323</xdr:colOff>
      <xdr:row>22</xdr:row>
      <xdr:rowOff>134471</xdr:rowOff>
    </xdr:from>
    <xdr:to>
      <xdr:col>18</xdr:col>
      <xdr:colOff>112058</xdr:colOff>
      <xdr:row>24</xdr:row>
      <xdr:rowOff>112060</xdr:rowOff>
    </xdr:to>
    <xdr:sp macro="" textlink="">
      <xdr:nvSpPr>
        <xdr:cNvPr id="4207" name="Rectangle 4206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/>
      </xdr:nvSpPr>
      <xdr:spPr>
        <a:xfrm>
          <a:off x="11855823" y="4572000"/>
          <a:ext cx="560294" cy="381001"/>
        </a:xfrm>
        <a:prstGeom prst="rect">
          <a:avLst/>
        </a:prstGeom>
        <a:solidFill>
          <a:srgbClr val="F0F0F0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324970</xdr:colOff>
      <xdr:row>24</xdr:row>
      <xdr:rowOff>100853</xdr:rowOff>
    </xdr:from>
    <xdr:to>
      <xdr:col>18</xdr:col>
      <xdr:colOff>98611</xdr:colOff>
      <xdr:row>26</xdr:row>
      <xdr:rowOff>154641</xdr:rowOff>
    </xdr:to>
    <xdr:sp macro="" textlink="">
      <xdr:nvSpPr>
        <xdr:cNvPr id="4211" name="Oval 4210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/>
        </xdr:cNvSpPr>
      </xdr:nvSpPr>
      <xdr:spPr>
        <a:xfrm>
          <a:off x="11945470" y="4941794"/>
          <a:ext cx="457200" cy="457200"/>
        </a:xfrm>
        <a:prstGeom prst="ellipse">
          <a:avLst/>
        </a:prstGeom>
        <a:noFill/>
        <a:ln w="38100">
          <a:solidFill>
            <a:srgbClr val="22C2D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119925</xdr:colOff>
      <xdr:row>16</xdr:row>
      <xdr:rowOff>78441</xdr:rowOff>
    </xdr:from>
    <xdr:to>
      <xdr:col>18</xdr:col>
      <xdr:colOff>355865</xdr:colOff>
      <xdr:row>17</xdr:row>
      <xdr:rowOff>145319</xdr:rowOff>
    </xdr:to>
    <xdr:sp macro="" textlink="Formulas!K7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11740425" y="3305735"/>
          <a:ext cx="919499" cy="26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7BB4EAD-9C90-4EDD-B786-73C23B89A65F}" type="TxLink">
            <a:rPr lang="en-US" sz="1600" b="1" i="0" u="none" strike="noStrike">
              <a:solidFill>
                <a:srgbClr val="000000">
                  <a:alpha val="20000"/>
                </a:srgbClr>
              </a:solidFill>
              <a:latin typeface="Calibri"/>
              <a:cs typeface="Calibri"/>
            </a:rPr>
            <a:pPr algn="ctr"/>
            <a:t> </a:t>
          </a:fld>
          <a:endParaRPr lang="en-US" sz="1400" b="1">
            <a:solidFill>
              <a:srgbClr val="000000">
                <a:alpha val="20000"/>
              </a:srgbClr>
            </a:solidFill>
          </a:endParaRPr>
        </a:p>
      </xdr:txBody>
    </xdr:sp>
    <xdr:clientData/>
  </xdr:twoCellAnchor>
  <xdr:twoCellAnchor>
    <xdr:from>
      <xdr:col>17</xdr:col>
      <xdr:colOff>108719</xdr:colOff>
      <xdr:row>18</xdr:row>
      <xdr:rowOff>20315</xdr:rowOff>
    </xdr:from>
    <xdr:to>
      <xdr:col>18</xdr:col>
      <xdr:colOff>344659</xdr:colOff>
      <xdr:row>19</xdr:row>
      <xdr:rowOff>67518</xdr:rowOff>
    </xdr:to>
    <xdr:sp macro="" textlink="Formulas!K8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11729219" y="3651021"/>
          <a:ext cx="919499" cy="248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11BE98A-772A-4BBB-B855-49976FC99303}" type="TxLink">
            <a:rPr lang="en-US" sz="1800" b="1" i="0" u="none" strike="noStrike">
              <a:solidFill>
                <a:schemeClr val="tx1">
                  <a:alpha val="2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1600" b="1">
            <a:solidFill>
              <a:schemeClr val="tx1">
                <a:alpha val="20000"/>
              </a:schemeClr>
            </a:solidFill>
          </a:endParaRPr>
        </a:p>
      </xdr:txBody>
    </xdr:sp>
    <xdr:clientData/>
  </xdr:twoCellAnchor>
  <xdr:twoCellAnchor>
    <xdr:from>
      <xdr:col>17</xdr:col>
      <xdr:colOff>119925</xdr:colOff>
      <xdr:row>19</xdr:row>
      <xdr:rowOff>144162</xdr:rowOff>
    </xdr:from>
    <xdr:to>
      <xdr:col>18</xdr:col>
      <xdr:colOff>355865</xdr:colOff>
      <xdr:row>20</xdr:row>
      <xdr:rowOff>161823</xdr:rowOff>
    </xdr:to>
    <xdr:sp macro="" textlink="Formulas!K9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11740425" y="3976574"/>
          <a:ext cx="919499" cy="219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887BFCD-B5E2-473B-8FFE-ABDB3CA9823A}" type="TxLink">
            <a:rPr lang="en-US" sz="1800" b="1" i="0" u="none" strike="noStrike">
              <a:solidFill>
                <a:srgbClr val="000000">
                  <a:alpha val="60000"/>
                </a:srgbClr>
              </a:solidFill>
              <a:latin typeface="Calibri"/>
              <a:cs typeface="Calibri"/>
            </a:rPr>
            <a:pPr algn="ctr"/>
            <a:t> </a:t>
          </a:fld>
          <a:endParaRPr lang="en-US" sz="1600" b="1">
            <a:solidFill>
              <a:srgbClr val="000000">
                <a:alpha val="60000"/>
              </a:srgbClr>
            </a:solidFill>
          </a:endParaRPr>
        </a:p>
      </xdr:txBody>
    </xdr:sp>
    <xdr:clientData/>
  </xdr:twoCellAnchor>
  <xdr:twoCellAnchor>
    <xdr:from>
      <xdr:col>17</xdr:col>
      <xdr:colOff>119925</xdr:colOff>
      <xdr:row>21</xdr:row>
      <xdr:rowOff>46568</xdr:rowOff>
    </xdr:from>
    <xdr:to>
      <xdr:col>18</xdr:col>
      <xdr:colOff>355865</xdr:colOff>
      <xdr:row>22</xdr:row>
      <xdr:rowOff>112058</xdr:rowOff>
    </xdr:to>
    <xdr:sp macro="" textlink="Formulas!K10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11740425" y="4282392"/>
          <a:ext cx="919499" cy="267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39151E4-C4A7-4ED4-AA27-1FE75EE685DE}" type="TxLink">
            <a:rPr lang="en-US" sz="20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</a:t>
          </a:fld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282873</xdr:colOff>
      <xdr:row>32</xdr:row>
      <xdr:rowOff>139040</xdr:rowOff>
    </xdr:from>
    <xdr:to>
      <xdr:col>18</xdr:col>
      <xdr:colOff>260461</xdr:colOff>
      <xdr:row>33</xdr:row>
      <xdr:rowOff>100853</xdr:rowOff>
    </xdr:to>
    <xdr:sp macro="" textlink="">
      <xdr:nvSpPr>
        <xdr:cNvPr id="4213" name="Rectangle 4212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/>
      </xdr:nvSpPr>
      <xdr:spPr>
        <a:xfrm>
          <a:off x="11903373" y="6593628"/>
          <a:ext cx="661147" cy="163519"/>
        </a:xfrm>
        <a:prstGeom prst="rect">
          <a:avLst/>
        </a:prstGeom>
        <a:solidFill>
          <a:srgbClr val="F0F0F0"/>
        </a:solidFill>
        <a:ln>
          <a:solidFill>
            <a:srgbClr val="F0F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324970</xdr:colOff>
      <xdr:row>30</xdr:row>
      <xdr:rowOff>78441</xdr:rowOff>
    </xdr:from>
    <xdr:to>
      <xdr:col>18</xdr:col>
      <xdr:colOff>98611</xdr:colOff>
      <xdr:row>32</xdr:row>
      <xdr:rowOff>132229</xdr:rowOff>
    </xdr:to>
    <xdr:sp macro="" textlink="">
      <xdr:nvSpPr>
        <xdr:cNvPr id="4214" name="Oval 4213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/>
        </xdr:cNvSpPr>
      </xdr:nvSpPr>
      <xdr:spPr>
        <a:xfrm>
          <a:off x="11945470" y="6129617"/>
          <a:ext cx="457200" cy="457200"/>
        </a:xfrm>
        <a:prstGeom prst="ellipse">
          <a:avLst/>
        </a:prstGeom>
        <a:noFill/>
        <a:ln w="38100">
          <a:solidFill>
            <a:srgbClr val="22C2D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38758</xdr:colOff>
      <xdr:row>26</xdr:row>
      <xdr:rowOff>165350</xdr:rowOff>
    </xdr:from>
    <xdr:to>
      <xdr:col>18</xdr:col>
      <xdr:colOff>515470</xdr:colOff>
      <xdr:row>29</xdr:row>
      <xdr:rowOff>130216</xdr:rowOff>
    </xdr:to>
    <xdr:sp macro="" textlink="Formulas!K11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11659258" y="5409703"/>
          <a:ext cx="1160271" cy="56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FD1B0EF-5D0C-4D4B-83FB-701323DF5546}" type="TxLink">
            <a:rPr lang="en-US" sz="3600" b="1" i="0" u="none" strike="noStrike">
              <a:solidFill>
                <a:srgbClr val="000066"/>
              </a:solidFill>
              <a:latin typeface="Calibri"/>
              <a:cs typeface="Calibri"/>
            </a:rPr>
            <a:pPr algn="ctr"/>
            <a:t>2023</a:t>
          </a:fld>
          <a:endParaRPr lang="en-US" sz="2800" b="1">
            <a:solidFill>
              <a:srgbClr val="000066"/>
            </a:solidFill>
          </a:endParaRPr>
        </a:p>
      </xdr:txBody>
    </xdr:sp>
    <xdr:clientData/>
  </xdr:twoCellAnchor>
  <xdr:twoCellAnchor>
    <xdr:from>
      <xdr:col>0</xdr:col>
      <xdr:colOff>616325</xdr:colOff>
      <xdr:row>45</xdr:row>
      <xdr:rowOff>22412</xdr:rowOff>
    </xdr:from>
    <xdr:to>
      <xdr:col>17</xdr:col>
      <xdr:colOff>44825</xdr:colOff>
      <xdr:row>48</xdr:row>
      <xdr:rowOff>67236</xdr:rowOff>
    </xdr:to>
    <xdr:sp macro="" textlink="">
      <xdr:nvSpPr>
        <xdr:cNvPr id="4220" name="Rectangle 4219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/>
      </xdr:nvSpPr>
      <xdr:spPr>
        <a:xfrm>
          <a:off x="616325" y="9099177"/>
          <a:ext cx="11049000" cy="649941"/>
        </a:xfrm>
        <a:prstGeom prst="rect">
          <a:avLst/>
        </a:prstGeom>
        <a:gradFill>
          <a:gsLst>
            <a:gs pos="0">
              <a:srgbClr val="F0F0F0"/>
            </a:gs>
            <a:gs pos="100000">
              <a:srgbClr val="1A2E87">
                <a:alpha val="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515470</xdr:colOff>
      <xdr:row>0</xdr:row>
      <xdr:rowOff>168088</xdr:rowOff>
    </xdr:from>
    <xdr:to>
      <xdr:col>14</xdr:col>
      <xdr:colOff>145677</xdr:colOff>
      <xdr:row>3</xdr:row>
      <xdr:rowOff>112060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E0DAD304-B68B-6188-B6CF-49E3778CC979}"/>
            </a:ext>
          </a:extLst>
        </xdr:cNvPr>
        <xdr:cNvSpPr txBox="1"/>
      </xdr:nvSpPr>
      <xdr:spPr>
        <a:xfrm>
          <a:off x="3933264" y="168088"/>
          <a:ext cx="5782237" cy="549090"/>
        </a:xfrm>
        <a:prstGeom prst="rect">
          <a:avLst/>
        </a:prstGeom>
        <a:solidFill>
          <a:srgbClr val="273FB1"/>
        </a:solidFill>
        <a:ln w="9525" cmpd="sng">
          <a:noFill/>
        </a:ln>
        <a:effectLst>
          <a:glow rad="228600">
            <a:schemeClr val="bg1"/>
          </a:glow>
          <a:innerShdw blurRad="63500" dist="50800" dir="13500000">
            <a:srgbClr val="00B0F0">
              <a:alpha val="50000"/>
            </a:srgbClr>
          </a:innerShdw>
          <a:reflection blurRad="6350" stA="50000" endA="300" endPos="55500" dist="50800" dir="5400000" sy="-100000" algn="bl" rotWithShape="0"/>
        </a:effectLst>
        <a:scene3d>
          <a:camera prst="orthographicFront"/>
          <a:lightRig rig="threePt" dir="t"/>
        </a:scene3d>
        <a:sp3d>
          <a:bevelT prst="angle"/>
          <a:bevelB prst="angle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Dynamic Sales Growth And Net Profit Margin dashboard in Excel</a:t>
          </a:r>
        </a:p>
        <a:p>
          <a:pPr algn="ctr"/>
          <a:br>
            <a:rPr lang="en-US" sz="1600" b="1">
              <a:solidFill>
                <a:schemeClr val="bg1"/>
              </a:solidFill>
            </a:rPr>
          </a:b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16</xdr:col>
      <xdr:colOff>649941</xdr:colOff>
      <xdr:row>2</xdr:row>
      <xdr:rowOff>147918</xdr:rowOff>
    </xdr:from>
    <xdr:to>
      <xdr:col>20</xdr:col>
      <xdr:colOff>156882</xdr:colOff>
      <xdr:row>13</xdr:row>
      <xdr:rowOff>170330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9C9EB98-295D-0ADD-1E29-B02E6BF34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86882" y="551330"/>
          <a:ext cx="2241176" cy="2241176"/>
        </a:xfrm>
        <a:prstGeom prst="rect">
          <a:avLst/>
        </a:prstGeom>
      </xdr:spPr>
    </xdr:pic>
    <xdr:clientData/>
  </xdr:twoCellAnchor>
  <xdr:twoCellAnchor editAs="oneCell">
    <xdr:from>
      <xdr:col>11</xdr:col>
      <xdr:colOff>324971</xdr:colOff>
      <xdr:row>4</xdr:row>
      <xdr:rowOff>11205</xdr:rowOff>
    </xdr:from>
    <xdr:to>
      <xdr:col>15</xdr:col>
      <xdr:colOff>258603</xdr:colOff>
      <xdr:row>9</xdr:row>
      <xdr:rowOff>167529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DF402342-179F-64FD-BC05-216790B0E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44118" y="818029"/>
          <a:ext cx="2667867" cy="1164853"/>
        </a:xfrm>
        <a:prstGeom prst="rect">
          <a:avLst/>
        </a:prstGeom>
      </xdr:spPr>
    </xdr:pic>
    <xdr:clientData/>
  </xdr:twoCellAnchor>
  <xdr:twoCellAnchor editAs="oneCell">
    <xdr:from>
      <xdr:col>21</xdr:col>
      <xdr:colOff>112059</xdr:colOff>
      <xdr:row>0</xdr:row>
      <xdr:rowOff>33616</xdr:rowOff>
    </xdr:from>
    <xdr:to>
      <xdr:col>23</xdr:col>
      <xdr:colOff>47066</xdr:colOff>
      <xdr:row>6</xdr:row>
      <xdr:rowOff>125506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4A1819C-B075-2B8F-83C8-A9A2C34B2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466794" y="33616"/>
          <a:ext cx="1302125" cy="1302125"/>
        </a:xfrm>
        <a:prstGeom prst="rect">
          <a:avLst/>
        </a:prstGeom>
      </xdr:spPr>
    </xdr:pic>
    <xdr:clientData/>
  </xdr:twoCellAnchor>
  <xdr:twoCellAnchor editAs="oneCell">
    <xdr:from>
      <xdr:col>21</xdr:col>
      <xdr:colOff>291353</xdr:colOff>
      <xdr:row>7</xdr:row>
      <xdr:rowOff>44825</xdr:rowOff>
    </xdr:from>
    <xdr:to>
      <xdr:col>23</xdr:col>
      <xdr:colOff>35858</xdr:colOff>
      <xdr:row>12</xdr:row>
      <xdr:rowOff>145629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C6E1D3A5-260F-5B85-F416-711C0E9CD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646088" y="1456766"/>
          <a:ext cx="1111623" cy="11093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0F9B5B-1A49-D74F-BFE9-283F983B52D2}" name="Table13" displayName="Table13" ref="B13:Q66" totalsRowCount="1" headerRowDxfId="37" dataDxfId="36" totalsRowDxfId="35">
  <autoFilter ref="B13:Q65" xr:uid="{35E604ED-6C46-4443-9359-D394BA7D7C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817609E8-1CF4-A94E-B7F5-931DE1DDB94E}" name="Week Number" totalsRowLabel="Total" dataDxfId="34" totalsRowDxfId="33"/>
    <tableColumn id="2" xr3:uid="{F8F3F752-2792-EB4F-A975-0E4527E124E0}" name="Purchases Items 2019" totalsRowFunction="sum" dataDxfId="32" totalsRowDxfId="31"/>
    <tableColumn id="3" xr3:uid="{054A217B-8785-424A-B8A6-AE62FCC0ABAC}" name="Purchases Items 2020" totalsRowFunction="sum" dataDxfId="30" totalsRowDxfId="29"/>
    <tableColumn id="4" xr3:uid="{03061EA2-97D7-774A-BC78-6C145D1C5C87}" name="Purchases Items 2021" totalsRowFunction="sum" dataDxfId="28" totalsRowDxfId="27"/>
    <tableColumn id="5" xr3:uid="{80D144D9-E016-C146-B1A2-084C6310A999}" name="Purchases Items 2022" totalsRowFunction="sum" dataDxfId="26" totalsRowDxfId="25"/>
    <tableColumn id="6" xr3:uid="{9FA6619E-2803-8845-AD07-5CC08FCF4AF7}" name="Purchases Items 2023" totalsRowFunction="sum" dataDxfId="24" totalsRowDxfId="23"/>
    <tableColumn id="7" xr3:uid="{DA0979D8-6BD9-AB4A-B692-11B563CE3A45}" name="Sales 2019" totalsRowFunction="sum" dataDxfId="22" totalsRowDxfId="21"/>
    <tableColumn id="8" xr3:uid="{1C9DD7BD-601F-B440-BF17-94F3172C2F59}" name="Sales 2020" totalsRowFunction="sum" dataDxfId="20" totalsRowDxfId="19"/>
    <tableColumn id="9" xr3:uid="{E01F2670-ECCE-9D4B-B0BA-9161A8FDBB4A}" name="Sales 2021" totalsRowFunction="sum" dataDxfId="18" totalsRowDxfId="17"/>
    <tableColumn id="10" xr3:uid="{043E3355-B0F0-8749-9F91-2B49C73AFF75}" name="Sales 2022" totalsRowFunction="sum" dataDxfId="16" totalsRowDxfId="15"/>
    <tableColumn id="11" xr3:uid="{33678D53-8B84-7549-8620-8A00D17FEF66}" name="Sales 2023" totalsRowFunction="sum" dataDxfId="14" totalsRowDxfId="13"/>
    <tableColumn id="12" xr3:uid="{04E5D591-AAE8-F042-B6E6-DF55907C0A70}" name="Final Profits 2019" totalsRowFunction="sum" dataDxfId="12" totalsRowDxfId="11"/>
    <tableColumn id="13" xr3:uid="{D4055F99-4F29-F742-A98D-2CB812CD449F}" name="Final Profits 2020" totalsRowFunction="sum" dataDxfId="10" totalsRowDxfId="9"/>
    <tableColumn id="14" xr3:uid="{FF0D4B31-1081-9E49-B691-93482F65446C}" name="Final Profits 2021" totalsRowFunction="sum" dataDxfId="8" totalsRowDxfId="7"/>
    <tableColumn id="15" xr3:uid="{C5F0C9E1-765C-214A-BDD3-A6807EF242C2}" name="Final Profits 2022" totalsRowFunction="sum" dataDxfId="6" totalsRowDxfId="5"/>
    <tableColumn id="16" xr3:uid="{623EB4CE-5C9C-FC43-B5BD-D149AC4B4E16}" name="Final Profits 2023" totalsRowFunction="sum" dataDxfId="4" totalsRowDxfId="3"/>
  </tableColumns>
  <tableStyleInfo name="TableStyleMedium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C1BDCE-4CAC-487F-B769-97CA44C395F7}" name="Table7" displayName="Table7" ref="K6:K15" totalsRowShown="0" headerRowDxfId="2" dataDxfId="1">
  <tableColumns count="1">
    <tableColumn id="1" xr3:uid="{46D38A9D-3726-405E-9D93-BCF6EADDB65B}" name="Yea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06DE-495F-F148-A556-BC1B93D1D368}">
  <sheetPr codeName="Sheet2"/>
  <dimension ref="A1:AC84"/>
  <sheetViews>
    <sheetView showGridLines="0" zoomScale="70" zoomScaleNormal="70" workbookViewId="0"/>
  </sheetViews>
  <sheetFormatPr defaultColWidth="11" defaultRowHeight="15"/>
  <cols>
    <col min="1" max="1" width="7.75" style="1" customWidth="1"/>
    <col min="2" max="2" width="11" style="1"/>
    <col min="3" max="8" width="12.125" style="1" customWidth="1"/>
    <col min="9" max="9" width="12.875" style="1" customWidth="1"/>
    <col min="10" max="10" width="11.875" style="1" bestFit="1" customWidth="1"/>
    <col min="11" max="12" width="12.125" style="1" customWidth="1"/>
    <col min="13" max="13" width="14.625" style="1" bestFit="1" customWidth="1"/>
    <col min="14" max="20" width="12.125" style="1" customWidth="1"/>
    <col min="21" max="16384" width="11" style="1"/>
  </cols>
  <sheetData>
    <row r="1" spans="1:29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9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9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9" ht="9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9" ht="28.5" customHeight="1">
      <c r="A5" s="12"/>
      <c r="B5" s="11"/>
      <c r="C5" s="11"/>
      <c r="D5" s="11"/>
      <c r="E5" s="11"/>
      <c r="F5" s="11"/>
      <c r="G5" s="11"/>
      <c r="H5" s="20"/>
      <c r="I5" s="21" t="s">
        <v>17</v>
      </c>
      <c r="J5" s="21" t="s">
        <v>18</v>
      </c>
      <c r="K5" s="21" t="s">
        <v>19</v>
      </c>
      <c r="L5" s="21" t="s">
        <v>20</v>
      </c>
      <c r="M5" s="21" t="s">
        <v>21</v>
      </c>
      <c r="N5" s="21" t="s">
        <v>22</v>
      </c>
      <c r="O5" s="21" t="s">
        <v>23</v>
      </c>
      <c r="P5" s="21" t="s">
        <v>24</v>
      </c>
      <c r="Q5" s="11"/>
      <c r="R5" s="11"/>
      <c r="S5" s="11"/>
      <c r="T5" s="11"/>
    </row>
    <row r="6" spans="1:29" ht="15.75">
      <c r="A6" s="12"/>
      <c r="B6" s="11"/>
      <c r="C6" s="11"/>
      <c r="D6" s="11"/>
      <c r="E6" s="11"/>
      <c r="F6" s="11"/>
      <c r="G6" s="11"/>
      <c r="H6" s="22">
        <v>2019</v>
      </c>
      <c r="I6" s="23">
        <v>5575</v>
      </c>
      <c r="J6" s="24">
        <v>0.46</v>
      </c>
      <c r="K6" s="25">
        <v>29961</v>
      </c>
      <c r="L6" s="24">
        <v>0.77</v>
      </c>
      <c r="M6" s="24">
        <v>0.33</v>
      </c>
      <c r="N6" s="27">
        <v>247705.30012737826</v>
      </c>
      <c r="O6" s="23">
        <v>13763</v>
      </c>
      <c r="P6" s="23">
        <v>6929.9724060781673</v>
      </c>
      <c r="Q6" s="11"/>
      <c r="R6" s="11"/>
      <c r="S6" s="11"/>
      <c r="T6" s="11"/>
    </row>
    <row r="7" spans="1:29" ht="15.75">
      <c r="A7" s="12"/>
      <c r="B7" s="11"/>
      <c r="C7" s="11"/>
      <c r="D7" s="11"/>
      <c r="E7" s="11"/>
      <c r="F7" s="11"/>
      <c r="G7" s="11"/>
      <c r="H7" s="22">
        <v>2020</v>
      </c>
      <c r="I7" s="23">
        <v>4930</v>
      </c>
      <c r="J7" s="24">
        <v>0.55000000000000004</v>
      </c>
      <c r="K7" s="25">
        <v>37761</v>
      </c>
      <c r="L7" s="24">
        <v>0.44999999999999996</v>
      </c>
      <c r="M7" s="24">
        <v>0.55000000000000004</v>
      </c>
      <c r="N7" s="26">
        <v>238533.13120758018</v>
      </c>
      <c r="O7" s="23">
        <v>12765</v>
      </c>
      <c r="P7" s="23">
        <v>7239</v>
      </c>
      <c r="Q7" s="11"/>
      <c r="R7" s="11"/>
      <c r="S7" s="11"/>
      <c r="T7" s="11"/>
    </row>
    <row r="8" spans="1:29" ht="15.75">
      <c r="A8" s="12"/>
      <c r="B8" s="11"/>
      <c r="C8" s="11"/>
      <c r="D8" s="11"/>
      <c r="E8" s="11"/>
      <c r="F8" s="11"/>
      <c r="G8" s="11"/>
      <c r="H8" s="22">
        <v>2021</v>
      </c>
      <c r="I8" s="23">
        <v>7917</v>
      </c>
      <c r="J8" s="24">
        <v>0.45</v>
      </c>
      <c r="K8" s="25">
        <v>23634</v>
      </c>
      <c r="L8" s="24">
        <v>0.6</v>
      </c>
      <c r="M8" s="24">
        <v>0.4</v>
      </c>
      <c r="N8" s="26">
        <v>273922.25920793426</v>
      </c>
      <c r="O8" s="23">
        <v>16987</v>
      </c>
      <c r="P8" s="23">
        <v>5673</v>
      </c>
      <c r="Q8" s="11"/>
      <c r="R8" s="11"/>
      <c r="S8" s="11"/>
      <c r="T8" s="11"/>
    </row>
    <row r="9" spans="1:29" ht="15.75">
      <c r="A9" s="12"/>
      <c r="B9" s="11"/>
      <c r="C9" s="11"/>
      <c r="D9" s="11"/>
      <c r="E9" s="11"/>
      <c r="F9" s="11"/>
      <c r="G9" s="11"/>
      <c r="H9" s="22">
        <v>2022</v>
      </c>
      <c r="I9" s="23">
        <v>7540</v>
      </c>
      <c r="J9" s="24">
        <v>0.61</v>
      </c>
      <c r="K9" s="25">
        <v>32729</v>
      </c>
      <c r="L9" s="24">
        <v>0.78</v>
      </c>
      <c r="M9" s="24">
        <v>0.22</v>
      </c>
      <c r="N9" s="26">
        <v>234511.35531522191</v>
      </c>
      <c r="O9" s="23">
        <v>15688</v>
      </c>
      <c r="P9" s="23">
        <v>6095.9292695902286</v>
      </c>
      <c r="Q9" s="11"/>
      <c r="R9" s="11"/>
      <c r="S9" s="11"/>
      <c r="T9" s="11"/>
    </row>
    <row r="10" spans="1:29" ht="15.75">
      <c r="A10" s="12"/>
      <c r="B10" s="11"/>
      <c r="C10" s="11"/>
      <c r="D10" s="11"/>
      <c r="E10" s="11"/>
      <c r="F10" s="11"/>
      <c r="G10" s="11"/>
      <c r="H10" s="22">
        <v>2023</v>
      </c>
      <c r="I10" s="23">
        <v>8239</v>
      </c>
      <c r="J10" s="24">
        <v>0.73</v>
      </c>
      <c r="K10" s="25">
        <v>59173</v>
      </c>
      <c r="L10" s="24">
        <v>0.69</v>
      </c>
      <c r="M10" s="24">
        <v>0.31</v>
      </c>
      <c r="N10" s="26">
        <v>238597.13120758001</v>
      </c>
      <c r="O10" s="23">
        <v>18954</v>
      </c>
      <c r="P10" s="23">
        <v>5772.0558880508379</v>
      </c>
      <c r="Q10" s="11"/>
      <c r="R10" s="11"/>
      <c r="S10" s="11"/>
      <c r="T10" s="11"/>
    </row>
    <row r="11" spans="1:29">
      <c r="A11" s="12"/>
      <c r="B11" s="19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9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9" s="9" customFormat="1" ht="36">
      <c r="A13" s="13"/>
      <c r="B13" s="8" t="s">
        <v>0</v>
      </c>
      <c r="C13" s="8" t="s">
        <v>1</v>
      </c>
      <c r="D13" s="8" t="s">
        <v>2</v>
      </c>
      <c r="E13" s="8" t="s">
        <v>3</v>
      </c>
      <c r="F13" s="8" t="s">
        <v>4</v>
      </c>
      <c r="G13" s="8" t="s">
        <v>5</v>
      </c>
      <c r="H13" s="8" t="s">
        <v>6</v>
      </c>
      <c r="I13" s="8" t="s">
        <v>7</v>
      </c>
      <c r="J13" s="8" t="s">
        <v>8</v>
      </c>
      <c r="K13" s="8" t="s">
        <v>9</v>
      </c>
      <c r="L13" s="8" t="s">
        <v>10</v>
      </c>
      <c r="M13" s="8" t="s">
        <v>11</v>
      </c>
      <c r="N13" s="8" t="s">
        <v>12</v>
      </c>
      <c r="O13" s="8" t="s">
        <v>13</v>
      </c>
      <c r="P13" s="8" t="s">
        <v>14</v>
      </c>
      <c r="Q13" s="8" t="s">
        <v>15</v>
      </c>
      <c r="R13" s="8"/>
      <c r="S13" s="8"/>
      <c r="T13" s="8"/>
      <c r="U13" s="10" t="s">
        <v>16</v>
      </c>
      <c r="V13" s="10" t="s">
        <v>17</v>
      </c>
      <c r="W13" s="10" t="s">
        <v>18</v>
      </c>
      <c r="X13" s="10" t="s">
        <v>19</v>
      </c>
      <c r="Y13" s="10" t="s">
        <v>20</v>
      </c>
      <c r="Z13" s="10" t="s">
        <v>21</v>
      </c>
      <c r="AA13" s="10" t="s">
        <v>22</v>
      </c>
      <c r="AB13" s="10" t="s">
        <v>23</v>
      </c>
      <c r="AC13" s="10" t="s">
        <v>24</v>
      </c>
    </row>
    <row r="14" spans="1:29">
      <c r="A14" s="14"/>
      <c r="B14" s="2">
        <v>1</v>
      </c>
      <c r="C14" s="7">
        <v>470</v>
      </c>
      <c r="D14" s="7">
        <v>824</v>
      </c>
      <c r="E14" s="7">
        <v>772</v>
      </c>
      <c r="F14" s="7">
        <v>542</v>
      </c>
      <c r="G14" s="7">
        <v>470</v>
      </c>
      <c r="H14" s="7">
        <v>796</v>
      </c>
      <c r="I14" s="7">
        <v>107</v>
      </c>
      <c r="J14" s="7">
        <v>251</v>
      </c>
      <c r="K14" s="7">
        <v>312</v>
      </c>
      <c r="L14" s="7">
        <v>925</v>
      </c>
      <c r="M14" s="7">
        <v>7115</v>
      </c>
      <c r="N14" s="7">
        <v>3206</v>
      </c>
      <c r="O14" s="7">
        <v>2033</v>
      </c>
      <c r="P14" s="7">
        <v>3988</v>
      </c>
      <c r="Q14" s="7">
        <v>4550</v>
      </c>
      <c r="R14" s="17"/>
      <c r="S14" s="17"/>
      <c r="T14" s="17"/>
      <c r="U14" s="3">
        <v>2019</v>
      </c>
      <c r="V14" s="3">
        <v>5575</v>
      </c>
      <c r="W14" s="4">
        <v>0.46</v>
      </c>
      <c r="X14" s="3">
        <v>29961</v>
      </c>
      <c r="Y14" s="4">
        <v>0.77</v>
      </c>
      <c r="Z14" s="4">
        <v>0.33</v>
      </c>
      <c r="AA14" s="3">
        <v>247705.30012737826</v>
      </c>
      <c r="AB14" s="3">
        <v>13763</v>
      </c>
      <c r="AC14" s="3">
        <v>6929.9724060781673</v>
      </c>
    </row>
    <row r="15" spans="1:29">
      <c r="A15" s="14"/>
      <c r="B15" s="2">
        <v>2</v>
      </c>
      <c r="C15" s="7">
        <v>402</v>
      </c>
      <c r="D15" s="7">
        <v>375</v>
      </c>
      <c r="E15" s="7">
        <v>796</v>
      </c>
      <c r="F15" s="7">
        <v>873</v>
      </c>
      <c r="G15" s="7">
        <v>402</v>
      </c>
      <c r="H15" s="7">
        <v>709</v>
      </c>
      <c r="I15" s="7">
        <v>347</v>
      </c>
      <c r="J15" s="7">
        <v>712</v>
      </c>
      <c r="K15" s="7">
        <v>147</v>
      </c>
      <c r="L15" s="7">
        <v>734</v>
      </c>
      <c r="M15" s="7">
        <v>776</v>
      </c>
      <c r="N15" s="7">
        <v>7131</v>
      </c>
      <c r="O15" s="7">
        <v>3938</v>
      </c>
      <c r="P15" s="7">
        <v>4993</v>
      </c>
      <c r="Q15" s="7">
        <v>3290</v>
      </c>
      <c r="R15" s="17"/>
      <c r="S15" s="17"/>
      <c r="T15" s="17"/>
      <c r="U15" s="5">
        <v>2020</v>
      </c>
      <c r="V15" s="5">
        <v>4930</v>
      </c>
      <c r="W15" s="6">
        <v>0.55000000000000004</v>
      </c>
      <c r="X15" s="5">
        <v>37761</v>
      </c>
      <c r="Y15" s="6">
        <v>0.44999999999999996</v>
      </c>
      <c r="Z15" s="6">
        <v>0.55000000000000004</v>
      </c>
      <c r="AA15" s="5">
        <v>238533.13120758018</v>
      </c>
      <c r="AB15" s="5">
        <v>12765</v>
      </c>
      <c r="AC15" s="5">
        <v>7239</v>
      </c>
    </row>
    <row r="16" spans="1:29">
      <c r="A16" s="14"/>
      <c r="B16" s="2">
        <v>3</v>
      </c>
      <c r="C16" s="7">
        <v>496</v>
      </c>
      <c r="D16" s="7">
        <v>793</v>
      </c>
      <c r="E16" s="7">
        <v>503</v>
      </c>
      <c r="F16" s="7">
        <v>790</v>
      </c>
      <c r="G16" s="7">
        <v>496</v>
      </c>
      <c r="H16" s="7">
        <v>764</v>
      </c>
      <c r="I16" s="7">
        <v>993</v>
      </c>
      <c r="J16" s="7">
        <v>268</v>
      </c>
      <c r="K16" s="7">
        <v>731</v>
      </c>
      <c r="L16" s="7">
        <v>267</v>
      </c>
      <c r="M16" s="7">
        <v>9585</v>
      </c>
      <c r="N16" s="7">
        <v>4546</v>
      </c>
      <c r="O16" s="7">
        <v>6956</v>
      </c>
      <c r="P16" s="7">
        <v>4843</v>
      </c>
      <c r="Q16" s="7">
        <v>2913</v>
      </c>
      <c r="R16" s="17"/>
      <c r="S16" s="17"/>
      <c r="T16" s="17"/>
      <c r="U16" s="3">
        <v>2021</v>
      </c>
      <c r="V16" s="3">
        <v>7917</v>
      </c>
      <c r="W16" s="4">
        <v>0.45</v>
      </c>
      <c r="X16" s="3">
        <v>23634</v>
      </c>
      <c r="Y16" s="4">
        <v>0.6</v>
      </c>
      <c r="Z16" s="4">
        <v>0.4</v>
      </c>
      <c r="AA16" s="3">
        <v>273922.25920793426</v>
      </c>
      <c r="AB16" s="3">
        <v>16987</v>
      </c>
      <c r="AC16" s="3">
        <v>5673</v>
      </c>
    </row>
    <row r="17" spans="1:29">
      <c r="A17" s="14"/>
      <c r="B17" s="2">
        <v>4</v>
      </c>
      <c r="C17" s="7">
        <v>856</v>
      </c>
      <c r="D17" s="7">
        <v>732</v>
      </c>
      <c r="E17" s="7">
        <v>118</v>
      </c>
      <c r="F17" s="7">
        <v>122</v>
      </c>
      <c r="G17" s="7">
        <v>856</v>
      </c>
      <c r="H17" s="7">
        <v>555</v>
      </c>
      <c r="I17" s="7">
        <v>953</v>
      </c>
      <c r="J17" s="7">
        <v>572</v>
      </c>
      <c r="K17" s="7">
        <v>452</v>
      </c>
      <c r="L17" s="7">
        <v>583</v>
      </c>
      <c r="M17" s="7">
        <v>2779</v>
      </c>
      <c r="N17" s="7">
        <v>8432</v>
      </c>
      <c r="O17" s="7">
        <v>261</v>
      </c>
      <c r="P17" s="7">
        <v>3211</v>
      </c>
      <c r="Q17" s="7">
        <v>3576</v>
      </c>
      <c r="R17" s="17"/>
      <c r="S17" s="17"/>
      <c r="T17" s="17"/>
      <c r="U17" s="5">
        <v>2022</v>
      </c>
      <c r="V17" s="5">
        <v>7540</v>
      </c>
      <c r="W17" s="6">
        <v>0.61</v>
      </c>
      <c r="X17" s="5">
        <v>32729</v>
      </c>
      <c r="Y17" s="6">
        <v>0.78</v>
      </c>
      <c r="Z17" s="6">
        <v>0.22</v>
      </c>
      <c r="AA17" s="5">
        <v>234511.35531522191</v>
      </c>
      <c r="AB17" s="5">
        <v>15688</v>
      </c>
      <c r="AC17" s="5">
        <v>6095.9292695902286</v>
      </c>
    </row>
    <row r="18" spans="1:29">
      <c r="A18" s="14"/>
      <c r="B18" s="2">
        <v>5</v>
      </c>
      <c r="C18" s="7">
        <v>888</v>
      </c>
      <c r="D18" s="7">
        <v>924</v>
      </c>
      <c r="E18" s="7">
        <v>753</v>
      </c>
      <c r="F18" s="7">
        <v>204</v>
      </c>
      <c r="G18" s="7">
        <v>888</v>
      </c>
      <c r="H18" s="7">
        <v>564</v>
      </c>
      <c r="I18" s="7">
        <v>868</v>
      </c>
      <c r="J18" s="7">
        <v>607</v>
      </c>
      <c r="K18" s="7">
        <v>836</v>
      </c>
      <c r="L18" s="7">
        <v>725</v>
      </c>
      <c r="M18" s="7">
        <v>8456</v>
      </c>
      <c r="N18" s="7">
        <v>5575</v>
      </c>
      <c r="O18" s="7">
        <v>5125</v>
      </c>
      <c r="P18" s="7">
        <v>7182</v>
      </c>
      <c r="Q18" s="7">
        <v>1761</v>
      </c>
      <c r="R18" s="17"/>
      <c r="S18" s="17"/>
      <c r="T18" s="17"/>
      <c r="U18" s="3">
        <v>2023</v>
      </c>
      <c r="V18" s="3">
        <v>8239</v>
      </c>
      <c r="W18" s="4">
        <v>0.73</v>
      </c>
      <c r="X18" s="3">
        <v>59173</v>
      </c>
      <c r="Y18" s="4">
        <v>0.69</v>
      </c>
      <c r="Z18" s="4">
        <v>0.31</v>
      </c>
      <c r="AA18" s="3">
        <v>238597.13120758001</v>
      </c>
      <c r="AB18" s="3">
        <v>18954</v>
      </c>
      <c r="AC18" s="3">
        <v>5772.0558880508379</v>
      </c>
    </row>
    <row r="19" spans="1:29">
      <c r="A19" s="14"/>
      <c r="B19" s="2">
        <v>6</v>
      </c>
      <c r="C19" s="7">
        <v>406</v>
      </c>
      <c r="D19" s="7">
        <v>153</v>
      </c>
      <c r="E19" s="7">
        <v>319</v>
      </c>
      <c r="F19" s="7">
        <v>335</v>
      </c>
      <c r="G19" s="7">
        <v>406</v>
      </c>
      <c r="H19" s="7">
        <v>980</v>
      </c>
      <c r="I19" s="7">
        <v>536</v>
      </c>
      <c r="J19" s="7">
        <v>825</v>
      </c>
      <c r="K19" s="7">
        <v>105</v>
      </c>
      <c r="L19" s="7">
        <v>226</v>
      </c>
      <c r="M19" s="7">
        <v>2065</v>
      </c>
      <c r="N19" s="7">
        <v>4930</v>
      </c>
      <c r="O19" s="7">
        <v>7434</v>
      </c>
      <c r="P19" s="7">
        <v>556</v>
      </c>
      <c r="Q19" s="7">
        <v>4059</v>
      </c>
      <c r="R19" s="17"/>
      <c r="S19" s="17"/>
      <c r="T19" s="17"/>
    </row>
    <row r="20" spans="1:29">
      <c r="A20" s="14"/>
      <c r="B20" s="2">
        <v>7</v>
      </c>
      <c r="C20" s="7">
        <v>567</v>
      </c>
      <c r="D20" s="7">
        <v>343</v>
      </c>
      <c r="E20" s="7">
        <v>103</v>
      </c>
      <c r="F20" s="7">
        <v>228</v>
      </c>
      <c r="G20" s="7">
        <v>567</v>
      </c>
      <c r="H20" s="7">
        <v>473</v>
      </c>
      <c r="I20" s="7">
        <v>277</v>
      </c>
      <c r="J20" s="7">
        <v>848</v>
      </c>
      <c r="K20" s="7">
        <v>719</v>
      </c>
      <c r="L20" s="7">
        <v>111</v>
      </c>
      <c r="M20" s="7">
        <v>5592</v>
      </c>
      <c r="N20" s="7">
        <v>7917</v>
      </c>
      <c r="O20" s="7">
        <v>6394</v>
      </c>
      <c r="P20" s="7">
        <v>978</v>
      </c>
      <c r="Q20" s="7">
        <v>8608</v>
      </c>
      <c r="R20" s="17"/>
      <c r="S20" s="17"/>
      <c r="T20" s="17"/>
    </row>
    <row r="21" spans="1:29">
      <c r="A21" s="14"/>
      <c r="B21" s="2">
        <v>8</v>
      </c>
      <c r="C21" s="7">
        <v>993</v>
      </c>
      <c r="D21" s="7">
        <v>694</v>
      </c>
      <c r="E21" s="7">
        <v>188</v>
      </c>
      <c r="F21" s="7">
        <v>888</v>
      </c>
      <c r="G21" s="7">
        <v>993</v>
      </c>
      <c r="H21" s="7">
        <v>409</v>
      </c>
      <c r="I21" s="7">
        <v>466</v>
      </c>
      <c r="J21" s="7">
        <v>733</v>
      </c>
      <c r="K21" s="7">
        <v>693</v>
      </c>
      <c r="L21" s="7">
        <v>883</v>
      </c>
      <c r="M21" s="7">
        <v>4149</v>
      </c>
      <c r="N21" s="7">
        <v>7540</v>
      </c>
      <c r="O21" s="7">
        <v>6822</v>
      </c>
      <c r="P21" s="7">
        <v>6151</v>
      </c>
      <c r="Q21" s="7">
        <v>895</v>
      </c>
      <c r="R21" s="17"/>
      <c r="S21" s="17"/>
      <c r="T21" s="17"/>
    </row>
    <row r="22" spans="1:29">
      <c r="A22" s="14"/>
      <c r="B22" s="2">
        <v>9</v>
      </c>
      <c r="C22" s="7">
        <v>327</v>
      </c>
      <c r="D22" s="7">
        <v>201</v>
      </c>
      <c r="E22" s="7">
        <v>136</v>
      </c>
      <c r="F22" s="7">
        <v>455</v>
      </c>
      <c r="G22" s="7">
        <v>327</v>
      </c>
      <c r="H22" s="7">
        <v>344</v>
      </c>
      <c r="I22" s="7">
        <v>206</v>
      </c>
      <c r="J22" s="7">
        <v>220</v>
      </c>
      <c r="K22" s="7">
        <v>378</v>
      </c>
      <c r="L22" s="7">
        <v>856</v>
      </c>
      <c r="M22" s="7">
        <v>9279</v>
      </c>
      <c r="N22" s="7">
        <v>1632</v>
      </c>
      <c r="O22" s="7">
        <v>2948</v>
      </c>
      <c r="P22" s="7">
        <v>8204</v>
      </c>
      <c r="Q22" s="7">
        <v>721</v>
      </c>
      <c r="R22" s="17"/>
      <c r="S22" s="17"/>
      <c r="T22" s="17"/>
    </row>
    <row r="23" spans="1:29">
      <c r="A23" s="14"/>
      <c r="B23" s="2">
        <v>10</v>
      </c>
      <c r="C23" s="7">
        <v>462</v>
      </c>
      <c r="D23" s="7">
        <v>243</v>
      </c>
      <c r="E23" s="7">
        <v>199</v>
      </c>
      <c r="F23" s="7">
        <v>146</v>
      </c>
      <c r="G23" s="7">
        <v>462</v>
      </c>
      <c r="H23" s="7">
        <v>353</v>
      </c>
      <c r="I23" s="7">
        <v>199</v>
      </c>
      <c r="J23" s="7">
        <v>363</v>
      </c>
      <c r="K23" s="7">
        <v>802</v>
      </c>
      <c r="L23" s="7">
        <v>696</v>
      </c>
      <c r="M23" s="7">
        <v>3499</v>
      </c>
      <c r="N23" s="7">
        <v>3173</v>
      </c>
      <c r="O23" s="7">
        <v>540</v>
      </c>
      <c r="P23" s="7">
        <v>9148</v>
      </c>
      <c r="Q23" s="7">
        <v>3387</v>
      </c>
      <c r="R23" s="17"/>
      <c r="S23" s="17"/>
      <c r="T23" s="17"/>
    </row>
    <row r="24" spans="1:29">
      <c r="A24" s="14"/>
      <c r="B24" s="2">
        <v>11</v>
      </c>
      <c r="C24" s="7">
        <v>200</v>
      </c>
      <c r="D24" s="7">
        <v>726</v>
      </c>
      <c r="E24" s="7">
        <v>750</v>
      </c>
      <c r="F24" s="7">
        <v>813</v>
      </c>
      <c r="G24" s="7">
        <v>200</v>
      </c>
      <c r="H24" s="7">
        <v>903</v>
      </c>
      <c r="I24" s="7">
        <v>933</v>
      </c>
      <c r="J24" s="7">
        <v>738</v>
      </c>
      <c r="K24" s="7">
        <v>149</v>
      </c>
      <c r="L24" s="7">
        <v>280</v>
      </c>
      <c r="M24" s="7">
        <v>5025</v>
      </c>
      <c r="N24" s="7">
        <v>2530</v>
      </c>
      <c r="O24" s="7">
        <v>8190</v>
      </c>
      <c r="P24" s="7">
        <v>8227</v>
      </c>
      <c r="Q24" s="7">
        <v>3572</v>
      </c>
      <c r="R24" s="17"/>
      <c r="S24" s="17"/>
      <c r="T24" s="17"/>
    </row>
    <row r="25" spans="1:29">
      <c r="A25" s="14"/>
      <c r="B25" s="2">
        <v>12</v>
      </c>
      <c r="C25" s="7">
        <v>384</v>
      </c>
      <c r="D25" s="7">
        <v>737</v>
      </c>
      <c r="E25" s="7">
        <v>156</v>
      </c>
      <c r="F25" s="7">
        <v>791</v>
      </c>
      <c r="G25" s="7">
        <v>384</v>
      </c>
      <c r="H25" s="7">
        <v>292</v>
      </c>
      <c r="I25" s="7">
        <v>919</v>
      </c>
      <c r="J25" s="7">
        <v>634</v>
      </c>
      <c r="K25" s="7">
        <v>712</v>
      </c>
      <c r="L25" s="7">
        <v>606</v>
      </c>
      <c r="M25" s="7">
        <v>1323</v>
      </c>
      <c r="N25" s="7">
        <v>967</v>
      </c>
      <c r="O25" s="7">
        <v>9435</v>
      </c>
      <c r="P25" s="7">
        <v>7916</v>
      </c>
      <c r="Q25" s="7">
        <v>2742</v>
      </c>
      <c r="R25" s="17"/>
      <c r="S25" s="17"/>
      <c r="T25" s="17"/>
    </row>
    <row r="26" spans="1:29">
      <c r="A26" s="14"/>
      <c r="B26" s="2">
        <v>13</v>
      </c>
      <c r="C26" s="7">
        <v>818</v>
      </c>
      <c r="D26" s="7">
        <v>755</v>
      </c>
      <c r="E26" s="7">
        <v>210</v>
      </c>
      <c r="F26" s="7">
        <v>373</v>
      </c>
      <c r="G26" s="7">
        <v>818</v>
      </c>
      <c r="H26" s="7">
        <v>377</v>
      </c>
      <c r="I26" s="7">
        <v>653</v>
      </c>
      <c r="J26" s="7">
        <v>219</v>
      </c>
      <c r="K26" s="7">
        <v>442</v>
      </c>
      <c r="L26" s="7">
        <v>954</v>
      </c>
      <c r="M26" s="7">
        <v>5169</v>
      </c>
      <c r="N26" s="7">
        <v>8985</v>
      </c>
      <c r="O26" s="7">
        <v>2186</v>
      </c>
      <c r="P26" s="7">
        <v>1223</v>
      </c>
      <c r="Q26" s="7">
        <v>9800</v>
      </c>
      <c r="R26" s="17"/>
      <c r="S26" s="17"/>
      <c r="T26" s="17"/>
    </row>
    <row r="27" spans="1:29">
      <c r="A27" s="14"/>
      <c r="B27" s="2">
        <v>14</v>
      </c>
      <c r="C27" s="7">
        <v>622</v>
      </c>
      <c r="D27" s="7">
        <v>424</v>
      </c>
      <c r="E27" s="7">
        <v>134</v>
      </c>
      <c r="F27" s="7">
        <v>788</v>
      </c>
      <c r="G27" s="7">
        <v>622</v>
      </c>
      <c r="H27" s="7">
        <v>870</v>
      </c>
      <c r="I27" s="7">
        <v>866</v>
      </c>
      <c r="J27" s="7">
        <v>943</v>
      </c>
      <c r="K27" s="7">
        <v>981</v>
      </c>
      <c r="L27" s="7">
        <v>364</v>
      </c>
      <c r="M27" s="7">
        <v>8301</v>
      </c>
      <c r="N27" s="7">
        <v>4094</v>
      </c>
      <c r="O27" s="7">
        <v>1604</v>
      </c>
      <c r="P27" s="7">
        <v>562</v>
      </c>
      <c r="Q27" s="7">
        <v>7655</v>
      </c>
      <c r="R27" s="17"/>
      <c r="S27" s="17"/>
      <c r="T27" s="17"/>
    </row>
    <row r="28" spans="1:29">
      <c r="A28" s="14"/>
      <c r="B28" s="2">
        <v>15</v>
      </c>
      <c r="C28" s="7">
        <v>438</v>
      </c>
      <c r="D28" s="7">
        <v>931</v>
      </c>
      <c r="E28" s="7">
        <v>421</v>
      </c>
      <c r="F28" s="7">
        <v>805</v>
      </c>
      <c r="G28" s="7">
        <v>438</v>
      </c>
      <c r="H28" s="7">
        <v>111</v>
      </c>
      <c r="I28" s="7">
        <v>296</v>
      </c>
      <c r="J28" s="7">
        <v>484</v>
      </c>
      <c r="K28" s="7">
        <v>352</v>
      </c>
      <c r="L28" s="7">
        <v>247</v>
      </c>
      <c r="M28" s="7">
        <v>7168</v>
      </c>
      <c r="N28" s="7">
        <v>3127</v>
      </c>
      <c r="O28" s="7">
        <v>3353</v>
      </c>
      <c r="P28" s="7">
        <v>4813</v>
      </c>
      <c r="Q28" s="7">
        <v>2265</v>
      </c>
      <c r="R28" s="17"/>
      <c r="S28" s="17"/>
      <c r="T28" s="17"/>
    </row>
    <row r="29" spans="1:29">
      <c r="A29" s="14"/>
      <c r="B29" s="2">
        <v>16</v>
      </c>
      <c r="C29" s="7">
        <v>967</v>
      </c>
      <c r="D29" s="7">
        <v>693</v>
      </c>
      <c r="E29" s="7">
        <v>532</v>
      </c>
      <c r="F29" s="7">
        <v>823</v>
      </c>
      <c r="G29" s="7">
        <v>967</v>
      </c>
      <c r="H29" s="7">
        <v>695</v>
      </c>
      <c r="I29" s="7">
        <v>328</v>
      </c>
      <c r="J29" s="7">
        <v>617</v>
      </c>
      <c r="K29" s="7">
        <v>729</v>
      </c>
      <c r="L29" s="7">
        <v>423</v>
      </c>
      <c r="M29" s="7">
        <v>9894</v>
      </c>
      <c r="N29" s="7">
        <v>4398</v>
      </c>
      <c r="O29" s="7">
        <v>4354</v>
      </c>
      <c r="P29" s="7">
        <v>4239</v>
      </c>
      <c r="Q29" s="7">
        <v>4023</v>
      </c>
      <c r="R29" s="17"/>
      <c r="S29" s="17"/>
      <c r="T29" s="17"/>
    </row>
    <row r="30" spans="1:29">
      <c r="A30" s="14"/>
      <c r="B30" s="2">
        <v>17</v>
      </c>
      <c r="C30" s="7">
        <v>543</v>
      </c>
      <c r="D30" s="7">
        <v>251</v>
      </c>
      <c r="E30" s="7">
        <v>900</v>
      </c>
      <c r="F30" s="7">
        <v>258</v>
      </c>
      <c r="G30" s="7">
        <v>543</v>
      </c>
      <c r="H30" s="7">
        <v>522</v>
      </c>
      <c r="I30" s="7">
        <v>641</v>
      </c>
      <c r="J30" s="7">
        <v>441</v>
      </c>
      <c r="K30" s="7">
        <v>740</v>
      </c>
      <c r="L30" s="7">
        <v>195</v>
      </c>
      <c r="M30" s="7">
        <v>1780</v>
      </c>
      <c r="N30" s="7">
        <v>5142</v>
      </c>
      <c r="O30" s="7">
        <v>2379</v>
      </c>
      <c r="P30" s="7">
        <v>9810</v>
      </c>
      <c r="Q30" s="7">
        <v>3038</v>
      </c>
      <c r="R30" s="17"/>
      <c r="S30" s="17"/>
      <c r="T30" s="17"/>
    </row>
    <row r="31" spans="1:29">
      <c r="A31" s="14"/>
      <c r="B31" s="2">
        <v>18</v>
      </c>
      <c r="C31" s="7">
        <v>545</v>
      </c>
      <c r="D31" s="7">
        <v>272</v>
      </c>
      <c r="E31" s="7">
        <v>566</v>
      </c>
      <c r="F31" s="7">
        <v>905</v>
      </c>
      <c r="G31" s="7">
        <v>545</v>
      </c>
      <c r="H31" s="7">
        <v>715</v>
      </c>
      <c r="I31" s="7">
        <v>135</v>
      </c>
      <c r="J31" s="7">
        <v>857</v>
      </c>
      <c r="K31" s="7">
        <v>618</v>
      </c>
      <c r="L31" s="7">
        <v>663</v>
      </c>
      <c r="M31" s="7">
        <v>5127</v>
      </c>
      <c r="N31" s="7">
        <v>1814</v>
      </c>
      <c r="O31" s="7">
        <v>2336</v>
      </c>
      <c r="P31" s="7">
        <v>9513</v>
      </c>
      <c r="Q31" s="7">
        <v>343</v>
      </c>
      <c r="R31" s="17"/>
      <c r="S31" s="17"/>
      <c r="T31" s="17"/>
    </row>
    <row r="32" spans="1:29">
      <c r="A32" s="14"/>
      <c r="B32" s="2">
        <v>19</v>
      </c>
      <c r="C32" s="7">
        <v>638</v>
      </c>
      <c r="D32" s="7">
        <v>794</v>
      </c>
      <c r="E32" s="7">
        <v>961</v>
      </c>
      <c r="F32" s="7">
        <v>720</v>
      </c>
      <c r="G32" s="7">
        <v>638</v>
      </c>
      <c r="H32" s="7">
        <v>348</v>
      </c>
      <c r="I32" s="7">
        <v>155</v>
      </c>
      <c r="J32" s="7">
        <v>139</v>
      </c>
      <c r="K32" s="7">
        <v>836</v>
      </c>
      <c r="L32" s="7">
        <v>850</v>
      </c>
      <c r="M32" s="7">
        <v>2470</v>
      </c>
      <c r="N32" s="7">
        <v>8743</v>
      </c>
      <c r="O32" s="7">
        <v>4734</v>
      </c>
      <c r="P32" s="7">
        <v>7488</v>
      </c>
      <c r="Q32" s="7">
        <v>1915</v>
      </c>
      <c r="R32" s="17"/>
      <c r="S32" s="17"/>
      <c r="T32" s="17"/>
    </row>
    <row r="33" spans="1:20">
      <c r="A33" s="14"/>
      <c r="B33" s="2">
        <v>20</v>
      </c>
      <c r="C33" s="7">
        <v>317</v>
      </c>
      <c r="D33" s="7">
        <v>532</v>
      </c>
      <c r="E33" s="7">
        <v>628</v>
      </c>
      <c r="F33" s="7">
        <v>920</v>
      </c>
      <c r="G33" s="7">
        <v>317</v>
      </c>
      <c r="H33" s="7">
        <v>807</v>
      </c>
      <c r="I33" s="7">
        <v>844</v>
      </c>
      <c r="J33" s="7">
        <v>576</v>
      </c>
      <c r="K33" s="7">
        <v>267</v>
      </c>
      <c r="L33" s="7">
        <v>928</v>
      </c>
      <c r="M33" s="7">
        <v>4343</v>
      </c>
      <c r="N33" s="7">
        <v>6929</v>
      </c>
      <c r="O33" s="7">
        <v>3151</v>
      </c>
      <c r="P33" s="7">
        <v>8847</v>
      </c>
      <c r="Q33" s="7">
        <v>799</v>
      </c>
      <c r="R33" s="17"/>
      <c r="S33" s="17"/>
      <c r="T33" s="17"/>
    </row>
    <row r="34" spans="1:20">
      <c r="A34" s="14"/>
      <c r="B34" s="2">
        <v>21</v>
      </c>
      <c r="C34" s="7">
        <v>939</v>
      </c>
      <c r="D34" s="7">
        <v>561</v>
      </c>
      <c r="E34" s="7">
        <v>846</v>
      </c>
      <c r="F34" s="7">
        <v>709</v>
      </c>
      <c r="G34" s="7">
        <v>939</v>
      </c>
      <c r="H34" s="7">
        <v>429</v>
      </c>
      <c r="I34" s="7">
        <v>612</v>
      </c>
      <c r="J34" s="7">
        <v>781</v>
      </c>
      <c r="K34" s="7">
        <v>862</v>
      </c>
      <c r="L34" s="7">
        <v>110</v>
      </c>
      <c r="M34" s="7">
        <v>9065</v>
      </c>
      <c r="N34" s="7">
        <v>5609</v>
      </c>
      <c r="O34" s="7">
        <v>9175</v>
      </c>
      <c r="P34" s="7">
        <v>9887</v>
      </c>
      <c r="Q34" s="7">
        <v>7206</v>
      </c>
      <c r="R34" s="17"/>
      <c r="S34" s="17"/>
      <c r="T34" s="17"/>
    </row>
    <row r="35" spans="1:20">
      <c r="A35" s="14"/>
      <c r="B35" s="2">
        <v>22</v>
      </c>
      <c r="C35" s="7">
        <v>826</v>
      </c>
      <c r="D35" s="7">
        <v>478</v>
      </c>
      <c r="E35" s="7">
        <v>577</v>
      </c>
      <c r="F35" s="7">
        <v>875</v>
      </c>
      <c r="G35" s="7">
        <v>826</v>
      </c>
      <c r="H35" s="7">
        <v>408</v>
      </c>
      <c r="I35" s="7">
        <v>949</v>
      </c>
      <c r="J35" s="7">
        <v>787</v>
      </c>
      <c r="K35" s="7">
        <v>542</v>
      </c>
      <c r="L35" s="7">
        <v>343</v>
      </c>
      <c r="M35" s="7">
        <v>748</v>
      </c>
      <c r="N35" s="7">
        <v>4034</v>
      </c>
      <c r="O35" s="7">
        <v>9771</v>
      </c>
      <c r="P35" s="7">
        <v>7075</v>
      </c>
      <c r="Q35" s="7">
        <v>271</v>
      </c>
      <c r="R35" s="17"/>
      <c r="S35" s="17"/>
      <c r="T35" s="17"/>
    </row>
    <row r="36" spans="1:20">
      <c r="A36" s="14"/>
      <c r="B36" s="2">
        <v>23</v>
      </c>
      <c r="C36" s="7">
        <v>422</v>
      </c>
      <c r="D36" s="7">
        <v>517</v>
      </c>
      <c r="E36" s="7">
        <v>422</v>
      </c>
      <c r="F36" s="7">
        <v>205</v>
      </c>
      <c r="G36" s="7">
        <v>422</v>
      </c>
      <c r="H36" s="7">
        <v>305</v>
      </c>
      <c r="I36" s="7">
        <v>327</v>
      </c>
      <c r="J36" s="7">
        <v>142</v>
      </c>
      <c r="K36" s="7">
        <v>714</v>
      </c>
      <c r="L36" s="7">
        <v>212</v>
      </c>
      <c r="M36" s="7">
        <v>2586</v>
      </c>
      <c r="N36" s="7">
        <v>2591</v>
      </c>
      <c r="O36" s="7">
        <v>3899</v>
      </c>
      <c r="P36" s="7">
        <v>7956</v>
      </c>
      <c r="Q36" s="7">
        <v>3708</v>
      </c>
      <c r="R36" s="17"/>
      <c r="S36" s="17"/>
      <c r="T36" s="17"/>
    </row>
    <row r="37" spans="1:20">
      <c r="A37" s="14"/>
      <c r="B37" s="2">
        <v>24</v>
      </c>
      <c r="C37" s="7">
        <v>405</v>
      </c>
      <c r="D37" s="7">
        <v>386</v>
      </c>
      <c r="E37" s="7">
        <v>551</v>
      </c>
      <c r="F37" s="7">
        <v>647</v>
      </c>
      <c r="G37" s="7">
        <v>405</v>
      </c>
      <c r="H37" s="7">
        <v>541</v>
      </c>
      <c r="I37" s="7">
        <v>677</v>
      </c>
      <c r="J37" s="7">
        <v>428</v>
      </c>
      <c r="K37" s="7">
        <v>697</v>
      </c>
      <c r="L37" s="7">
        <v>190</v>
      </c>
      <c r="M37" s="7">
        <v>5941</v>
      </c>
      <c r="N37" s="7">
        <v>3775</v>
      </c>
      <c r="O37" s="7">
        <v>7125</v>
      </c>
      <c r="P37" s="7">
        <v>5758</v>
      </c>
      <c r="Q37" s="7">
        <v>5528</v>
      </c>
      <c r="R37" s="17"/>
      <c r="S37" s="17"/>
      <c r="T37" s="17"/>
    </row>
    <row r="38" spans="1:20">
      <c r="A38" s="14"/>
      <c r="B38" s="2">
        <v>25</v>
      </c>
      <c r="C38" s="7">
        <v>137</v>
      </c>
      <c r="D38" s="7">
        <v>765</v>
      </c>
      <c r="E38" s="7">
        <v>610</v>
      </c>
      <c r="F38" s="7">
        <v>596</v>
      </c>
      <c r="G38" s="7">
        <v>137</v>
      </c>
      <c r="H38" s="7">
        <v>344</v>
      </c>
      <c r="I38" s="7">
        <v>160</v>
      </c>
      <c r="J38" s="7">
        <v>560</v>
      </c>
      <c r="K38" s="7">
        <v>569</v>
      </c>
      <c r="L38" s="7">
        <v>136</v>
      </c>
      <c r="M38" s="7">
        <v>3436</v>
      </c>
      <c r="N38" s="7">
        <v>4084</v>
      </c>
      <c r="O38" s="7">
        <v>8470</v>
      </c>
      <c r="P38" s="7">
        <v>390</v>
      </c>
      <c r="Q38" s="7">
        <v>6298</v>
      </c>
      <c r="R38" s="17"/>
      <c r="S38" s="17"/>
      <c r="T38" s="17"/>
    </row>
    <row r="39" spans="1:20">
      <c r="A39" s="14"/>
      <c r="B39" s="2">
        <v>26</v>
      </c>
      <c r="C39" s="7">
        <v>807</v>
      </c>
      <c r="D39" s="7">
        <v>476</v>
      </c>
      <c r="E39" s="7">
        <v>894</v>
      </c>
      <c r="F39" s="7">
        <v>237</v>
      </c>
      <c r="G39" s="7">
        <v>807</v>
      </c>
      <c r="H39" s="7">
        <v>147</v>
      </c>
      <c r="I39" s="7">
        <v>239</v>
      </c>
      <c r="J39" s="7">
        <v>858</v>
      </c>
      <c r="K39" s="7">
        <v>459</v>
      </c>
      <c r="L39" s="7">
        <v>662</v>
      </c>
      <c r="M39" s="7">
        <v>5393</v>
      </c>
      <c r="N39" s="7">
        <v>2719</v>
      </c>
      <c r="O39" s="7">
        <v>5138</v>
      </c>
      <c r="P39" s="7">
        <v>4311</v>
      </c>
      <c r="Q39" s="7">
        <v>3233</v>
      </c>
      <c r="R39" s="17"/>
      <c r="S39" s="17"/>
      <c r="T39" s="17"/>
    </row>
    <row r="40" spans="1:20">
      <c r="A40" s="14"/>
      <c r="B40" s="2">
        <v>27</v>
      </c>
      <c r="C40" s="7">
        <v>556</v>
      </c>
      <c r="D40" s="7">
        <v>637</v>
      </c>
      <c r="E40" s="7">
        <v>964</v>
      </c>
      <c r="F40" s="7">
        <v>297</v>
      </c>
      <c r="G40" s="7">
        <v>556</v>
      </c>
      <c r="H40" s="7">
        <v>996</v>
      </c>
      <c r="I40" s="7">
        <v>414</v>
      </c>
      <c r="J40" s="7">
        <v>792</v>
      </c>
      <c r="K40" s="7">
        <v>434</v>
      </c>
      <c r="L40" s="7">
        <v>742</v>
      </c>
      <c r="M40" s="7">
        <v>8604</v>
      </c>
      <c r="N40" s="7">
        <v>1853</v>
      </c>
      <c r="O40" s="7">
        <v>3926</v>
      </c>
      <c r="P40" s="7">
        <v>2368</v>
      </c>
      <c r="Q40" s="7">
        <v>3457</v>
      </c>
      <c r="R40" s="17"/>
      <c r="S40" s="17"/>
      <c r="T40" s="17"/>
    </row>
    <row r="41" spans="1:20">
      <c r="A41" s="14"/>
      <c r="B41" s="2">
        <v>28</v>
      </c>
      <c r="C41" s="7">
        <v>547</v>
      </c>
      <c r="D41" s="7">
        <v>180</v>
      </c>
      <c r="E41" s="7">
        <v>400</v>
      </c>
      <c r="F41" s="7">
        <v>860</v>
      </c>
      <c r="G41" s="7">
        <v>547</v>
      </c>
      <c r="H41" s="7">
        <v>338</v>
      </c>
      <c r="I41" s="7">
        <v>779</v>
      </c>
      <c r="J41" s="7">
        <v>872</v>
      </c>
      <c r="K41" s="7">
        <v>997</v>
      </c>
      <c r="L41" s="7">
        <v>164</v>
      </c>
      <c r="M41" s="7">
        <v>5606</v>
      </c>
      <c r="N41" s="7">
        <v>7208</v>
      </c>
      <c r="O41" s="7">
        <v>8961</v>
      </c>
      <c r="P41" s="7">
        <v>7605</v>
      </c>
      <c r="Q41" s="7">
        <v>6466</v>
      </c>
      <c r="R41" s="17"/>
      <c r="S41" s="17"/>
      <c r="T41" s="17"/>
    </row>
    <row r="42" spans="1:20">
      <c r="A42" s="14"/>
      <c r="B42" s="2">
        <v>29</v>
      </c>
      <c r="C42" s="7">
        <v>771</v>
      </c>
      <c r="D42" s="7">
        <v>389</v>
      </c>
      <c r="E42" s="7">
        <v>190</v>
      </c>
      <c r="F42" s="7">
        <v>626</v>
      </c>
      <c r="G42" s="7">
        <v>771</v>
      </c>
      <c r="H42" s="7">
        <v>847</v>
      </c>
      <c r="I42" s="7">
        <v>351</v>
      </c>
      <c r="J42" s="7">
        <v>531</v>
      </c>
      <c r="K42" s="7">
        <v>367</v>
      </c>
      <c r="L42" s="7">
        <v>681</v>
      </c>
      <c r="M42" s="7">
        <v>4050</v>
      </c>
      <c r="N42" s="7">
        <v>6985</v>
      </c>
      <c r="O42" s="7">
        <v>6569</v>
      </c>
      <c r="P42" s="7">
        <v>8073</v>
      </c>
      <c r="Q42" s="7">
        <v>9226</v>
      </c>
      <c r="R42" s="17"/>
      <c r="S42" s="17"/>
      <c r="T42" s="17"/>
    </row>
    <row r="43" spans="1:20">
      <c r="A43" s="14"/>
      <c r="B43" s="2">
        <v>30</v>
      </c>
      <c r="C43" s="7">
        <v>532</v>
      </c>
      <c r="D43" s="7">
        <v>268</v>
      </c>
      <c r="E43" s="7">
        <v>920</v>
      </c>
      <c r="F43" s="7">
        <v>979</v>
      </c>
      <c r="G43" s="7">
        <v>532</v>
      </c>
      <c r="H43" s="7">
        <v>289</v>
      </c>
      <c r="I43" s="7">
        <v>338</v>
      </c>
      <c r="J43" s="7">
        <v>916</v>
      </c>
      <c r="K43" s="7">
        <v>854</v>
      </c>
      <c r="L43" s="7">
        <v>245</v>
      </c>
      <c r="M43" s="7">
        <v>2017</v>
      </c>
      <c r="N43" s="7">
        <v>4377</v>
      </c>
      <c r="O43" s="7">
        <v>7760</v>
      </c>
      <c r="P43" s="7">
        <v>7791</v>
      </c>
      <c r="Q43" s="7">
        <v>1551</v>
      </c>
      <c r="R43" s="17"/>
      <c r="S43" s="17"/>
      <c r="T43" s="17"/>
    </row>
    <row r="44" spans="1:20">
      <c r="A44" s="14"/>
      <c r="B44" s="2">
        <v>31</v>
      </c>
      <c r="C44" s="7">
        <v>371</v>
      </c>
      <c r="D44" s="7">
        <v>421</v>
      </c>
      <c r="E44" s="7">
        <v>602</v>
      </c>
      <c r="F44" s="7">
        <v>765</v>
      </c>
      <c r="G44" s="7">
        <v>371</v>
      </c>
      <c r="H44" s="7">
        <v>293</v>
      </c>
      <c r="I44" s="7">
        <v>511</v>
      </c>
      <c r="J44" s="7">
        <v>221</v>
      </c>
      <c r="K44" s="7">
        <v>374</v>
      </c>
      <c r="L44" s="7">
        <v>444</v>
      </c>
      <c r="M44" s="7">
        <v>1974</v>
      </c>
      <c r="N44" s="7">
        <v>5744</v>
      </c>
      <c r="O44" s="7">
        <v>3215</v>
      </c>
      <c r="P44" s="7">
        <v>8178</v>
      </c>
      <c r="Q44" s="7">
        <v>5998</v>
      </c>
      <c r="R44" s="17"/>
      <c r="S44" s="17"/>
      <c r="T44" s="17"/>
    </row>
    <row r="45" spans="1:20">
      <c r="A45" s="14"/>
      <c r="B45" s="2">
        <v>32</v>
      </c>
      <c r="C45" s="7">
        <v>919</v>
      </c>
      <c r="D45" s="7">
        <v>730</v>
      </c>
      <c r="E45" s="7">
        <v>558</v>
      </c>
      <c r="F45" s="7">
        <v>910</v>
      </c>
      <c r="G45" s="7">
        <v>919</v>
      </c>
      <c r="H45" s="7">
        <v>987</v>
      </c>
      <c r="I45" s="7">
        <v>322</v>
      </c>
      <c r="J45" s="7">
        <v>130</v>
      </c>
      <c r="K45" s="7">
        <v>247</v>
      </c>
      <c r="L45" s="7">
        <v>905</v>
      </c>
      <c r="M45" s="7">
        <v>9281</v>
      </c>
      <c r="N45" s="7">
        <v>2419</v>
      </c>
      <c r="O45" s="7">
        <v>8709</v>
      </c>
      <c r="P45" s="7">
        <v>784</v>
      </c>
      <c r="Q45" s="7">
        <v>3635</v>
      </c>
      <c r="R45" s="17"/>
      <c r="S45" s="17"/>
      <c r="T45" s="17"/>
    </row>
    <row r="46" spans="1:20">
      <c r="A46" s="14"/>
      <c r="B46" s="2">
        <v>33</v>
      </c>
      <c r="C46" s="7">
        <v>579</v>
      </c>
      <c r="D46" s="7">
        <v>123</v>
      </c>
      <c r="E46" s="7">
        <v>840</v>
      </c>
      <c r="F46" s="7">
        <v>721</v>
      </c>
      <c r="G46" s="7">
        <v>579</v>
      </c>
      <c r="H46" s="7">
        <v>790</v>
      </c>
      <c r="I46" s="7">
        <v>940</v>
      </c>
      <c r="J46" s="7">
        <v>731</v>
      </c>
      <c r="K46" s="7">
        <v>332</v>
      </c>
      <c r="L46" s="7">
        <v>457</v>
      </c>
      <c r="M46" s="7">
        <v>953</v>
      </c>
      <c r="N46" s="7">
        <v>2206</v>
      </c>
      <c r="O46" s="7">
        <v>8152</v>
      </c>
      <c r="P46" s="7">
        <v>6241</v>
      </c>
      <c r="Q46" s="7">
        <v>283</v>
      </c>
      <c r="R46" s="17"/>
      <c r="S46" s="17"/>
      <c r="T46" s="17"/>
    </row>
    <row r="47" spans="1:20">
      <c r="A47" s="14"/>
      <c r="B47" s="2">
        <v>34</v>
      </c>
      <c r="C47" s="7">
        <v>435</v>
      </c>
      <c r="D47" s="7">
        <v>784</v>
      </c>
      <c r="E47" s="7">
        <v>353</v>
      </c>
      <c r="F47" s="7">
        <v>952</v>
      </c>
      <c r="G47" s="7">
        <v>435</v>
      </c>
      <c r="H47" s="7">
        <v>400</v>
      </c>
      <c r="I47" s="7">
        <v>907</v>
      </c>
      <c r="J47" s="7">
        <v>212</v>
      </c>
      <c r="K47" s="7">
        <v>596</v>
      </c>
      <c r="L47" s="7">
        <v>789</v>
      </c>
      <c r="M47" s="7">
        <v>1641</v>
      </c>
      <c r="N47" s="7">
        <v>6295</v>
      </c>
      <c r="O47" s="7">
        <v>2261</v>
      </c>
      <c r="P47" s="7">
        <v>8513</v>
      </c>
      <c r="Q47" s="7">
        <v>2776</v>
      </c>
      <c r="R47" s="17"/>
      <c r="S47" s="17"/>
      <c r="T47" s="17"/>
    </row>
    <row r="48" spans="1:20">
      <c r="A48" s="14"/>
      <c r="B48" s="2">
        <v>35</v>
      </c>
      <c r="C48" s="7">
        <v>217</v>
      </c>
      <c r="D48" s="7">
        <v>566</v>
      </c>
      <c r="E48" s="7">
        <v>879</v>
      </c>
      <c r="F48" s="7">
        <v>818</v>
      </c>
      <c r="G48" s="7">
        <v>217</v>
      </c>
      <c r="H48" s="7">
        <v>1000</v>
      </c>
      <c r="I48" s="7">
        <v>466</v>
      </c>
      <c r="J48" s="7">
        <v>344</v>
      </c>
      <c r="K48" s="7">
        <v>879</v>
      </c>
      <c r="L48" s="7">
        <v>291</v>
      </c>
      <c r="M48" s="7">
        <v>9860</v>
      </c>
      <c r="N48" s="7">
        <v>5615</v>
      </c>
      <c r="O48" s="7">
        <v>6879</v>
      </c>
      <c r="P48" s="7">
        <v>5357</v>
      </c>
      <c r="Q48" s="7">
        <v>9850</v>
      </c>
      <c r="R48" s="17"/>
      <c r="S48" s="17"/>
      <c r="T48" s="17"/>
    </row>
    <row r="49" spans="1:20">
      <c r="A49" s="14"/>
      <c r="B49" s="2">
        <v>36</v>
      </c>
      <c r="C49" s="7">
        <v>126</v>
      </c>
      <c r="D49" s="7">
        <v>131</v>
      </c>
      <c r="E49" s="7">
        <v>157</v>
      </c>
      <c r="F49" s="7">
        <v>960</v>
      </c>
      <c r="G49" s="7">
        <v>126</v>
      </c>
      <c r="H49" s="7">
        <v>332</v>
      </c>
      <c r="I49" s="7">
        <v>175</v>
      </c>
      <c r="J49" s="7">
        <v>907</v>
      </c>
      <c r="K49" s="7">
        <v>315</v>
      </c>
      <c r="L49" s="7">
        <v>833</v>
      </c>
      <c r="M49" s="7">
        <v>4267</v>
      </c>
      <c r="N49" s="7">
        <v>6270</v>
      </c>
      <c r="O49" s="7">
        <v>5929</v>
      </c>
      <c r="P49" s="7">
        <v>6117</v>
      </c>
      <c r="Q49" s="7">
        <v>2216</v>
      </c>
      <c r="R49" s="17"/>
      <c r="S49" s="17"/>
      <c r="T49" s="17"/>
    </row>
    <row r="50" spans="1:20">
      <c r="A50" s="14"/>
      <c r="B50" s="2">
        <v>37</v>
      </c>
      <c r="C50" s="7">
        <v>118</v>
      </c>
      <c r="D50" s="7">
        <v>539</v>
      </c>
      <c r="E50" s="7">
        <v>390</v>
      </c>
      <c r="F50" s="7">
        <v>912</v>
      </c>
      <c r="G50" s="7">
        <v>118</v>
      </c>
      <c r="H50" s="7">
        <v>908</v>
      </c>
      <c r="I50" s="7">
        <v>908</v>
      </c>
      <c r="J50" s="7">
        <v>394</v>
      </c>
      <c r="K50" s="7">
        <v>430</v>
      </c>
      <c r="L50" s="7">
        <v>168</v>
      </c>
      <c r="M50" s="7">
        <v>3977</v>
      </c>
      <c r="N50" s="7">
        <v>4221</v>
      </c>
      <c r="O50" s="7">
        <v>712</v>
      </c>
      <c r="P50" s="7">
        <v>7003</v>
      </c>
      <c r="Q50" s="7">
        <v>5177</v>
      </c>
      <c r="R50" s="17"/>
      <c r="S50" s="17"/>
      <c r="T50" s="17"/>
    </row>
    <row r="51" spans="1:20">
      <c r="A51" s="14"/>
      <c r="B51" s="2">
        <v>38</v>
      </c>
      <c r="C51" s="7">
        <v>799</v>
      </c>
      <c r="D51" s="7">
        <v>710</v>
      </c>
      <c r="E51" s="7">
        <v>868</v>
      </c>
      <c r="F51" s="7">
        <v>126</v>
      </c>
      <c r="G51" s="7">
        <v>799</v>
      </c>
      <c r="H51" s="7">
        <v>939</v>
      </c>
      <c r="I51" s="7">
        <v>409</v>
      </c>
      <c r="J51" s="7">
        <v>204</v>
      </c>
      <c r="K51" s="7">
        <v>680</v>
      </c>
      <c r="L51" s="7">
        <v>930</v>
      </c>
      <c r="M51" s="7">
        <v>289</v>
      </c>
      <c r="N51" s="7">
        <v>8479</v>
      </c>
      <c r="O51" s="7">
        <v>9557</v>
      </c>
      <c r="P51" s="7">
        <v>8401</v>
      </c>
      <c r="Q51" s="7">
        <v>5822</v>
      </c>
      <c r="R51" s="17"/>
      <c r="S51" s="17"/>
      <c r="T51" s="17"/>
    </row>
    <row r="52" spans="1:20">
      <c r="A52" s="14"/>
      <c r="B52" s="2">
        <v>39</v>
      </c>
      <c r="C52" s="7">
        <v>804</v>
      </c>
      <c r="D52" s="7">
        <v>867</v>
      </c>
      <c r="E52" s="7">
        <v>700</v>
      </c>
      <c r="F52" s="7">
        <v>297</v>
      </c>
      <c r="G52" s="7">
        <v>804</v>
      </c>
      <c r="H52" s="7">
        <v>752</v>
      </c>
      <c r="I52" s="7">
        <v>162</v>
      </c>
      <c r="J52" s="7">
        <v>134</v>
      </c>
      <c r="K52" s="7">
        <v>851</v>
      </c>
      <c r="L52" s="7">
        <v>249</v>
      </c>
      <c r="M52" s="7">
        <v>2816</v>
      </c>
      <c r="N52" s="7">
        <v>7750</v>
      </c>
      <c r="O52" s="7">
        <v>8672</v>
      </c>
      <c r="P52" s="7">
        <v>7840</v>
      </c>
      <c r="Q52" s="7">
        <v>7354</v>
      </c>
      <c r="R52" s="17"/>
      <c r="S52" s="17"/>
      <c r="T52" s="17"/>
    </row>
    <row r="53" spans="1:20">
      <c r="A53" s="14"/>
      <c r="B53" s="2">
        <v>40</v>
      </c>
      <c r="C53" s="7">
        <v>630</v>
      </c>
      <c r="D53" s="7">
        <v>253</v>
      </c>
      <c r="E53" s="7">
        <v>676</v>
      </c>
      <c r="F53" s="7">
        <v>381</v>
      </c>
      <c r="G53" s="7">
        <v>630</v>
      </c>
      <c r="H53" s="7">
        <v>922</v>
      </c>
      <c r="I53" s="7">
        <v>517</v>
      </c>
      <c r="J53" s="7">
        <v>143</v>
      </c>
      <c r="K53" s="7">
        <v>527</v>
      </c>
      <c r="L53" s="7">
        <v>919</v>
      </c>
      <c r="M53" s="7">
        <v>3250</v>
      </c>
      <c r="N53" s="7">
        <v>4627</v>
      </c>
      <c r="O53" s="7">
        <v>4364</v>
      </c>
      <c r="P53" s="7">
        <v>3498</v>
      </c>
      <c r="Q53" s="7">
        <v>8018</v>
      </c>
      <c r="R53" s="17"/>
      <c r="S53" s="17"/>
      <c r="T53" s="17"/>
    </row>
    <row r="54" spans="1:20">
      <c r="A54" s="14"/>
      <c r="B54" s="2">
        <v>41</v>
      </c>
      <c r="C54" s="7">
        <v>618</v>
      </c>
      <c r="D54" s="7">
        <v>403</v>
      </c>
      <c r="E54" s="7">
        <v>567</v>
      </c>
      <c r="F54" s="7">
        <v>265</v>
      </c>
      <c r="G54" s="7">
        <v>618</v>
      </c>
      <c r="H54" s="7">
        <v>839</v>
      </c>
      <c r="I54" s="7">
        <v>894</v>
      </c>
      <c r="J54" s="7">
        <v>769</v>
      </c>
      <c r="K54" s="7">
        <v>375</v>
      </c>
      <c r="L54" s="7">
        <v>307</v>
      </c>
      <c r="M54" s="7">
        <v>3616</v>
      </c>
      <c r="N54" s="7">
        <v>4282</v>
      </c>
      <c r="O54" s="7">
        <v>8632</v>
      </c>
      <c r="P54" s="7">
        <v>8166</v>
      </c>
      <c r="Q54" s="7">
        <v>1935</v>
      </c>
      <c r="R54" s="17"/>
      <c r="S54" s="17"/>
      <c r="T54" s="17"/>
    </row>
    <row r="55" spans="1:20">
      <c r="A55" s="14"/>
      <c r="B55" s="2">
        <v>42</v>
      </c>
      <c r="C55" s="7">
        <v>452</v>
      </c>
      <c r="D55" s="7">
        <v>313</v>
      </c>
      <c r="E55" s="7">
        <v>909</v>
      </c>
      <c r="F55" s="7">
        <v>474</v>
      </c>
      <c r="G55" s="7">
        <v>452</v>
      </c>
      <c r="H55" s="7">
        <v>983</v>
      </c>
      <c r="I55" s="7">
        <v>374</v>
      </c>
      <c r="J55" s="7">
        <v>682</v>
      </c>
      <c r="K55" s="7">
        <v>818</v>
      </c>
      <c r="L55" s="7">
        <v>783</v>
      </c>
      <c r="M55" s="7">
        <v>2144</v>
      </c>
      <c r="N55" s="7">
        <v>9852</v>
      </c>
      <c r="O55" s="7">
        <v>5939</v>
      </c>
      <c r="P55" s="7">
        <v>1897</v>
      </c>
      <c r="Q55" s="7">
        <v>5935</v>
      </c>
      <c r="R55" s="17"/>
      <c r="S55" s="17"/>
      <c r="T55" s="17"/>
    </row>
    <row r="56" spans="1:20">
      <c r="A56" s="14"/>
      <c r="B56" s="2">
        <v>43</v>
      </c>
      <c r="C56" s="7">
        <v>350</v>
      </c>
      <c r="D56" s="7">
        <v>405</v>
      </c>
      <c r="E56" s="7">
        <v>842</v>
      </c>
      <c r="F56" s="7">
        <v>297</v>
      </c>
      <c r="G56" s="7">
        <v>350</v>
      </c>
      <c r="H56" s="7">
        <v>522</v>
      </c>
      <c r="I56" s="7">
        <v>718</v>
      </c>
      <c r="J56" s="7">
        <v>253</v>
      </c>
      <c r="K56" s="7">
        <v>548</v>
      </c>
      <c r="L56" s="7">
        <v>388</v>
      </c>
      <c r="M56" s="7">
        <v>2879</v>
      </c>
      <c r="N56" s="7">
        <v>9756</v>
      </c>
      <c r="O56" s="7">
        <v>6306</v>
      </c>
      <c r="P56" s="7">
        <v>8978</v>
      </c>
      <c r="Q56" s="7">
        <v>464</v>
      </c>
      <c r="R56" s="17"/>
      <c r="S56" s="17"/>
      <c r="T56" s="17"/>
    </row>
    <row r="57" spans="1:20">
      <c r="A57" s="14"/>
      <c r="B57" s="2">
        <v>44</v>
      </c>
      <c r="C57" s="7">
        <v>309</v>
      </c>
      <c r="D57" s="7">
        <v>110</v>
      </c>
      <c r="E57" s="7">
        <v>917</v>
      </c>
      <c r="F57" s="7">
        <v>226</v>
      </c>
      <c r="G57" s="7">
        <v>309</v>
      </c>
      <c r="H57" s="7">
        <v>913</v>
      </c>
      <c r="I57" s="7">
        <v>183</v>
      </c>
      <c r="J57" s="7">
        <v>611</v>
      </c>
      <c r="K57" s="7">
        <v>694</v>
      </c>
      <c r="L57" s="7">
        <v>380</v>
      </c>
      <c r="M57" s="7">
        <v>1794</v>
      </c>
      <c r="N57" s="7">
        <v>1647</v>
      </c>
      <c r="O57" s="7">
        <v>8069</v>
      </c>
      <c r="P57" s="7">
        <v>2664</v>
      </c>
      <c r="Q57" s="7">
        <v>5954</v>
      </c>
      <c r="R57" s="17"/>
      <c r="S57" s="17"/>
      <c r="T57" s="17"/>
    </row>
    <row r="58" spans="1:20">
      <c r="A58" s="14"/>
      <c r="B58" s="2">
        <v>45</v>
      </c>
      <c r="C58" s="7">
        <v>470</v>
      </c>
      <c r="D58" s="7">
        <v>623</v>
      </c>
      <c r="E58" s="7">
        <v>676</v>
      </c>
      <c r="F58" s="7">
        <v>625</v>
      </c>
      <c r="G58" s="7">
        <v>470</v>
      </c>
      <c r="H58" s="7">
        <v>885</v>
      </c>
      <c r="I58" s="7">
        <v>467</v>
      </c>
      <c r="J58" s="7">
        <v>322</v>
      </c>
      <c r="K58" s="7">
        <v>875</v>
      </c>
      <c r="L58" s="7">
        <v>418</v>
      </c>
      <c r="M58" s="7">
        <v>7414</v>
      </c>
      <c r="N58" s="7">
        <v>4861</v>
      </c>
      <c r="O58" s="7">
        <v>8252</v>
      </c>
      <c r="P58" s="7">
        <v>6478</v>
      </c>
      <c r="Q58" s="7">
        <v>7357</v>
      </c>
      <c r="R58" s="17"/>
      <c r="S58" s="17"/>
      <c r="T58" s="17"/>
    </row>
    <row r="59" spans="1:20">
      <c r="A59" s="14"/>
      <c r="B59" s="2">
        <v>46</v>
      </c>
      <c r="C59" s="7">
        <v>294</v>
      </c>
      <c r="D59" s="7">
        <v>449</v>
      </c>
      <c r="E59" s="7">
        <v>985</v>
      </c>
      <c r="F59" s="7">
        <v>984</v>
      </c>
      <c r="G59" s="7">
        <v>294</v>
      </c>
      <c r="H59" s="7">
        <v>617</v>
      </c>
      <c r="I59" s="7">
        <v>231</v>
      </c>
      <c r="J59" s="7">
        <v>365</v>
      </c>
      <c r="K59" s="7">
        <v>269</v>
      </c>
      <c r="L59" s="7">
        <v>605</v>
      </c>
      <c r="M59" s="7">
        <v>2358</v>
      </c>
      <c r="N59" s="7">
        <v>5787</v>
      </c>
      <c r="O59" s="7">
        <v>5902</v>
      </c>
      <c r="P59" s="7">
        <v>7025</v>
      </c>
      <c r="Q59" s="7">
        <v>7258</v>
      </c>
      <c r="R59" s="17"/>
      <c r="S59" s="17"/>
      <c r="T59" s="17"/>
    </row>
    <row r="60" spans="1:20">
      <c r="A60" s="14"/>
      <c r="B60" s="2">
        <v>47</v>
      </c>
      <c r="C60" s="7">
        <v>369</v>
      </c>
      <c r="D60" s="7">
        <v>240</v>
      </c>
      <c r="E60" s="7">
        <v>507</v>
      </c>
      <c r="F60" s="7">
        <v>588</v>
      </c>
      <c r="G60" s="7">
        <v>369</v>
      </c>
      <c r="H60" s="7">
        <v>145</v>
      </c>
      <c r="I60" s="7">
        <v>816</v>
      </c>
      <c r="J60" s="7">
        <v>494</v>
      </c>
      <c r="K60" s="7">
        <v>626</v>
      </c>
      <c r="L60" s="7">
        <v>643</v>
      </c>
      <c r="M60" s="7">
        <v>3940</v>
      </c>
      <c r="N60" s="7">
        <v>644</v>
      </c>
      <c r="O60" s="7">
        <v>5345</v>
      </c>
      <c r="P60" s="7">
        <v>5349</v>
      </c>
      <c r="Q60" s="7">
        <v>4649</v>
      </c>
      <c r="R60" s="17"/>
      <c r="S60" s="17"/>
      <c r="T60" s="17"/>
    </row>
    <row r="61" spans="1:20">
      <c r="A61" s="14"/>
      <c r="B61" s="2">
        <v>48</v>
      </c>
      <c r="C61" s="7">
        <v>312</v>
      </c>
      <c r="D61" s="7">
        <v>701</v>
      </c>
      <c r="E61" s="7">
        <v>440</v>
      </c>
      <c r="F61" s="7">
        <v>439</v>
      </c>
      <c r="G61" s="7">
        <v>312</v>
      </c>
      <c r="H61" s="7">
        <v>665</v>
      </c>
      <c r="I61" s="7">
        <v>785</v>
      </c>
      <c r="J61" s="7">
        <v>473</v>
      </c>
      <c r="K61" s="7">
        <v>626</v>
      </c>
      <c r="L61" s="7">
        <v>774</v>
      </c>
      <c r="M61" s="7">
        <v>9136</v>
      </c>
      <c r="N61" s="7">
        <v>2043</v>
      </c>
      <c r="O61" s="7">
        <v>4553</v>
      </c>
      <c r="P61" s="7">
        <v>9813</v>
      </c>
      <c r="Q61" s="7">
        <v>2917</v>
      </c>
      <c r="R61" s="17"/>
      <c r="S61" s="17"/>
      <c r="T61" s="17"/>
    </row>
    <row r="62" spans="1:20">
      <c r="A62" s="14"/>
      <c r="B62" s="2">
        <v>49</v>
      </c>
      <c r="C62" s="7">
        <v>798</v>
      </c>
      <c r="D62" s="7">
        <v>697</v>
      </c>
      <c r="E62" s="7">
        <v>193</v>
      </c>
      <c r="F62" s="7">
        <v>628</v>
      </c>
      <c r="G62" s="7">
        <v>798</v>
      </c>
      <c r="H62" s="7">
        <v>560</v>
      </c>
      <c r="I62" s="7">
        <v>952</v>
      </c>
      <c r="J62" s="7">
        <v>969</v>
      </c>
      <c r="K62" s="7">
        <v>791</v>
      </c>
      <c r="L62" s="7">
        <v>581</v>
      </c>
      <c r="M62" s="7">
        <v>1989</v>
      </c>
      <c r="N62" s="7">
        <v>9000</v>
      </c>
      <c r="O62" s="7">
        <v>3104</v>
      </c>
      <c r="P62" s="7">
        <v>4344</v>
      </c>
      <c r="Q62" s="7">
        <v>1633</v>
      </c>
      <c r="R62" s="17"/>
      <c r="S62" s="17"/>
      <c r="T62" s="17"/>
    </row>
    <row r="63" spans="1:20">
      <c r="A63" s="14"/>
      <c r="B63" s="2">
        <v>50</v>
      </c>
      <c r="C63" s="7">
        <v>625</v>
      </c>
      <c r="D63" s="7">
        <v>500</v>
      </c>
      <c r="E63" s="7">
        <v>877</v>
      </c>
      <c r="F63" s="7">
        <v>903</v>
      </c>
      <c r="G63" s="7">
        <v>625</v>
      </c>
      <c r="H63" s="7">
        <v>865</v>
      </c>
      <c r="I63" s="7">
        <v>896</v>
      </c>
      <c r="J63" s="7">
        <v>618</v>
      </c>
      <c r="K63" s="7">
        <v>496</v>
      </c>
      <c r="L63" s="7">
        <v>264</v>
      </c>
      <c r="M63" s="7">
        <v>9426</v>
      </c>
      <c r="N63" s="7">
        <v>9740</v>
      </c>
      <c r="O63" s="7">
        <v>1131</v>
      </c>
      <c r="P63" s="7">
        <v>7850</v>
      </c>
      <c r="Q63" s="7">
        <v>7860</v>
      </c>
      <c r="R63" s="17"/>
      <c r="S63" s="17"/>
      <c r="T63" s="17"/>
    </row>
    <row r="64" spans="1:20">
      <c r="A64" s="14"/>
      <c r="B64" s="2">
        <v>51</v>
      </c>
      <c r="C64" s="7">
        <v>714</v>
      </c>
      <c r="D64" s="7">
        <v>688</v>
      </c>
      <c r="E64" s="7">
        <v>919</v>
      </c>
      <c r="F64" s="7">
        <v>793</v>
      </c>
      <c r="G64" s="7">
        <v>714</v>
      </c>
      <c r="H64" s="7">
        <v>421</v>
      </c>
      <c r="I64" s="7">
        <v>379</v>
      </c>
      <c r="J64" s="7">
        <v>529</v>
      </c>
      <c r="K64" s="7">
        <v>309</v>
      </c>
      <c r="L64" s="7">
        <v>913</v>
      </c>
      <c r="M64" s="7">
        <v>1073</v>
      </c>
      <c r="N64" s="7">
        <v>150</v>
      </c>
      <c r="O64" s="7">
        <v>5536</v>
      </c>
      <c r="P64" s="7">
        <v>3830</v>
      </c>
      <c r="Q64" s="7">
        <v>4910</v>
      </c>
      <c r="R64" s="17"/>
      <c r="S64" s="17"/>
      <c r="T64" s="17"/>
    </row>
    <row r="65" spans="1:20">
      <c r="A65" s="14"/>
      <c r="B65" s="2">
        <v>52</v>
      </c>
      <c r="C65" s="7">
        <v>732</v>
      </c>
      <c r="D65" s="7">
        <v>519</v>
      </c>
      <c r="E65" s="7">
        <v>866</v>
      </c>
      <c r="F65" s="7">
        <v>588</v>
      </c>
      <c r="G65" s="7">
        <v>732</v>
      </c>
      <c r="H65" s="7">
        <v>568</v>
      </c>
      <c r="I65" s="7">
        <v>425</v>
      </c>
      <c r="J65" s="7">
        <v>716</v>
      </c>
      <c r="K65" s="7">
        <v>102</v>
      </c>
      <c r="L65" s="7">
        <v>243</v>
      </c>
      <c r="M65" s="7">
        <v>1890</v>
      </c>
      <c r="N65" s="7">
        <v>4097</v>
      </c>
      <c r="O65" s="7">
        <v>9469</v>
      </c>
      <c r="P65" s="7">
        <v>375</v>
      </c>
      <c r="Q65" s="7">
        <v>6727</v>
      </c>
      <c r="R65" s="17"/>
      <c r="S65" s="17"/>
      <c r="T65" s="17"/>
    </row>
    <row r="66" spans="1:20">
      <c r="A66" s="14"/>
      <c r="B66" s="15" t="s">
        <v>25</v>
      </c>
      <c r="C66" s="16">
        <f>SUBTOTAL(109,Table13[Purchases Items 2019])</f>
        <v>28322</v>
      </c>
      <c r="D66" s="16">
        <f>SUBTOTAL(109,Table13[Purchases Items 2020])</f>
        <v>26826</v>
      </c>
      <c r="E66" s="16">
        <f>SUBTOTAL(109,Table13[Purchases Items 2021])</f>
        <v>30240</v>
      </c>
      <c r="F66" s="16">
        <f>SUBTOTAL(109,Table13[Purchases Items 2022])</f>
        <v>31462</v>
      </c>
      <c r="G66" s="16">
        <f>SUBTOTAL(109,Table13[Purchases Items 2023])</f>
        <v>28322</v>
      </c>
      <c r="H66" s="16">
        <f>SUBTOTAL(109,Table13[Sales 2019])</f>
        <v>31537</v>
      </c>
      <c r="I66" s="16">
        <f>SUBTOTAL(109,Table13[Sales 2020])</f>
        <v>28005</v>
      </c>
      <c r="J66" s="16">
        <f>SUBTOTAL(109,Table13[Sales 2021])</f>
        <v>27935</v>
      </c>
      <c r="K66" s="16">
        <f>SUBTOTAL(109,Table13[Sales 2022])</f>
        <v>29256</v>
      </c>
      <c r="L66" s="16">
        <f>SUBTOTAL(109,Table13[Sales 2023])</f>
        <v>27285</v>
      </c>
      <c r="M66" s="16">
        <f>SUBTOTAL(109,Table13[Final Profits 2019])</f>
        <v>237308</v>
      </c>
      <c r="N66" s="16">
        <f>SUBTOTAL(109,Table13[Final Profits 2020])</f>
        <v>259531</v>
      </c>
      <c r="O66" s="16">
        <f>SUBTOTAL(109,Table13[Final Profits 2021])</f>
        <v>285655</v>
      </c>
      <c r="P66" s="16">
        <f>SUBTOTAL(109,Table13[Final Profits 2022])</f>
        <v>301807</v>
      </c>
      <c r="Q66" s="16">
        <f>SUBTOTAL(109,Table13[Final Profits 2023])</f>
        <v>225584</v>
      </c>
      <c r="R66" s="18"/>
      <c r="S66" s="18"/>
      <c r="T66" s="18"/>
    </row>
    <row r="67" spans="1:20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D2E2-B8BA-4A28-83D7-71CCC64CDFA4}">
  <sheetPr codeName="Sheet4"/>
  <dimension ref="B1:AT58"/>
  <sheetViews>
    <sheetView showGridLines="0" topLeftCell="AJ5" zoomScale="70" zoomScaleNormal="70" workbookViewId="0">
      <selection activeCell="BA14" sqref="BA14"/>
    </sheetView>
  </sheetViews>
  <sheetFormatPr defaultRowHeight="15.75"/>
  <cols>
    <col min="1" max="1" width="9" style="29"/>
    <col min="2" max="2" width="10.25" style="29" customWidth="1"/>
    <col min="3" max="8" width="9" style="29"/>
    <col min="9" max="9" width="17.125" style="29" bestFit="1" customWidth="1"/>
    <col min="10" max="10" width="17.125" style="29" customWidth="1"/>
    <col min="11" max="11" width="14.125" style="29" customWidth="1"/>
    <col min="12" max="15" width="9" style="29"/>
    <col min="16" max="16" width="16.125" style="29" bestFit="1" customWidth="1"/>
    <col min="17" max="18" width="9" style="29"/>
    <col min="19" max="19" width="9.5" style="29" customWidth="1"/>
    <col min="20" max="20" width="17.625" style="29" bestFit="1" customWidth="1"/>
    <col min="21" max="21" width="22.375" style="29" customWidth="1"/>
    <col min="22" max="22" width="18.875" style="29" bestFit="1" customWidth="1"/>
    <col min="23" max="23" width="14.25" style="29" customWidth="1"/>
    <col min="24" max="24" width="22.75" style="29" customWidth="1"/>
    <col min="25" max="25" width="16.375" style="29" bestFit="1" customWidth="1"/>
    <col min="26" max="29" width="18.75" style="29" customWidth="1"/>
    <col min="30" max="30" width="38.375" style="29" bestFit="1" customWidth="1"/>
    <col min="31" max="32" width="18.75" style="29" customWidth="1"/>
    <col min="33" max="33" width="57.5" style="29" bestFit="1" customWidth="1"/>
    <col min="34" max="37" width="18.75" style="29" customWidth="1"/>
    <col min="38" max="38" width="9" style="29"/>
    <col min="39" max="39" width="14" style="29" customWidth="1"/>
    <col min="40" max="40" width="9" style="29"/>
    <col min="41" max="41" width="9" style="29" customWidth="1"/>
    <col min="42" max="42" width="9" style="29"/>
    <col min="43" max="43" width="29.375" style="29" bestFit="1" customWidth="1"/>
    <col min="44" max="44" width="18.375" style="29" customWidth="1"/>
    <col min="45" max="45" width="20.125" style="29" bestFit="1" customWidth="1"/>
    <col min="46" max="46" width="24.25" style="29" bestFit="1" customWidth="1"/>
    <col min="47" max="16384" width="9" style="29"/>
  </cols>
  <sheetData>
    <row r="1" spans="2:46" ht="27.75" customHeight="1"/>
    <row r="3" spans="2:46" ht="29.25" customHeight="1"/>
    <row r="4" spans="2:46" ht="47.25" customHeight="1" thickBot="1">
      <c r="S4" s="66" t="s">
        <v>28</v>
      </c>
      <c r="T4" s="62" t="s">
        <v>32</v>
      </c>
      <c r="U4" s="60" t="s">
        <v>34</v>
      </c>
      <c r="V4" s="56" t="s">
        <v>33</v>
      </c>
      <c r="W4" s="49"/>
      <c r="X4" s="71" t="s">
        <v>35</v>
      </c>
      <c r="Y4" s="70" t="s">
        <v>36</v>
      </c>
      <c r="AD4" s="82"/>
      <c r="AQ4" s="93"/>
      <c r="AR4" s="93"/>
      <c r="AS4" s="93"/>
      <c r="AT4" s="93"/>
    </row>
    <row r="5" spans="2:46" ht="40.5" customHeight="1" thickBot="1">
      <c r="J5" s="36"/>
      <c r="P5" s="47" t="s">
        <v>31</v>
      </c>
      <c r="R5" s="57"/>
      <c r="S5" s="67">
        <f>B12</f>
        <v>2019</v>
      </c>
      <c r="T5" s="64">
        <v>1</v>
      </c>
      <c r="U5" s="61" t="str">
        <f>CONCATENATE(S5,T5)</f>
        <v>20191</v>
      </c>
      <c r="V5" s="54" t="str">
        <f>Table13[[#Headers],[Purchases Items 2019]]</f>
        <v>Purchases Items 2019</v>
      </c>
      <c r="W5" s="45"/>
      <c r="X5" s="43" t="str">
        <f>CONCATENATE(I8,P7)</f>
        <v>20231</v>
      </c>
      <c r="Y5" s="72" t="s">
        <v>37</v>
      </c>
      <c r="Z5" s="73" t="str">
        <f>VLOOKUP(X5,U5:V19,2,0)</f>
        <v>Purchases Items 2023</v>
      </c>
      <c r="AA5" s="76"/>
      <c r="AB5" s="76"/>
      <c r="AC5" s="83"/>
      <c r="AD5" s="84" t="s">
        <v>38</v>
      </c>
      <c r="AE5" s="79"/>
      <c r="AG5" s="88" t="s">
        <v>44</v>
      </c>
      <c r="AH5" s="76"/>
      <c r="AI5" s="76"/>
      <c r="AJ5" s="76"/>
      <c r="AK5" s="76"/>
      <c r="AP5" s="92"/>
      <c r="AQ5" s="106" t="s">
        <v>17</v>
      </c>
      <c r="AR5" s="105"/>
      <c r="AS5" s="94" t="s">
        <v>19</v>
      </c>
      <c r="AT5" s="98" t="s">
        <v>49</v>
      </c>
    </row>
    <row r="6" spans="2:46" ht="31.5">
      <c r="B6" s="31" t="s">
        <v>29</v>
      </c>
      <c r="I6" s="30" t="s">
        <v>26</v>
      </c>
      <c r="J6" s="37"/>
      <c r="K6" s="39" t="s">
        <v>28</v>
      </c>
      <c r="P6" s="46" t="s">
        <v>30</v>
      </c>
      <c r="R6" s="57"/>
      <c r="S6" s="67">
        <f>B11</f>
        <v>2020</v>
      </c>
      <c r="T6" s="64">
        <v>1</v>
      </c>
      <c r="U6" s="61" t="str">
        <f t="shared" ref="U6:U19" si="0">CONCATENATE(S6,T6)</f>
        <v>20201</v>
      </c>
      <c r="V6" s="54" t="str">
        <f>Table13[[#Headers],[Purchases Items 2020]]</f>
        <v>Purchases Items 2020</v>
      </c>
      <c r="W6" s="45"/>
      <c r="X6" s="45"/>
      <c r="Y6" s="63">
        <v>1</v>
      </c>
      <c r="Z6" s="74">
        <f>INDEX(Table13[],MATCH(Formulas!Y6,Table13[Week Number]),MATCH(Formulas!$Z$5,Table13[#Headers],0))</f>
        <v>470</v>
      </c>
      <c r="AA6" s="75"/>
      <c r="AB6" s="75"/>
      <c r="AC6" s="80"/>
      <c r="AD6" s="78" t="s">
        <v>39</v>
      </c>
      <c r="AE6" s="85">
        <f>SUM(AE7:AE10)</f>
        <v>28322</v>
      </c>
      <c r="AG6" s="91" t="str">
        <f>IF(P7=1,AG8,IF(P7=2,AG9,IF(P7=3,AG10,"")))</f>
        <v>purchases Items by week</v>
      </c>
      <c r="AH6" s="75"/>
      <c r="AI6" s="75"/>
      <c r="AJ6" s="75"/>
      <c r="AK6" s="75"/>
      <c r="AP6" s="92"/>
      <c r="AQ6" s="108">
        <f>VLOOKUP($I$8,Data!$H$6:$P$10,2,0)</f>
        <v>8239</v>
      </c>
      <c r="AR6" s="97"/>
      <c r="AS6" s="110">
        <f>VLOOKUP($I$8,Data!$H$6:$P$10,4,0)</f>
        <v>59173</v>
      </c>
      <c r="AT6" s="97">
        <f>VLOOKUP($I$8,Data!$H$6:$P$10,7,0)</f>
        <v>238597.13120758001</v>
      </c>
    </row>
    <row r="7" spans="2:46" ht="31.5">
      <c r="B7" s="31" t="s">
        <v>28</v>
      </c>
      <c r="I7" s="43" t="s">
        <v>27</v>
      </c>
      <c r="J7" s="38"/>
      <c r="K7" s="40" t="str">
        <f>IF(I8=B12,K11+4,"")</f>
        <v/>
      </c>
      <c r="P7" s="48">
        <v>1</v>
      </c>
      <c r="R7" s="57"/>
      <c r="S7" s="67">
        <f>B10</f>
        <v>2021</v>
      </c>
      <c r="T7" s="64">
        <v>1</v>
      </c>
      <c r="U7" s="61" t="str">
        <f t="shared" si="0"/>
        <v>20211</v>
      </c>
      <c r="V7" s="54" t="str">
        <f>Table13[[#Headers],[Purchases Items 2021]]</f>
        <v>Purchases Items 2021</v>
      </c>
      <c r="W7" s="45"/>
      <c r="X7" s="45"/>
      <c r="Y7" s="63">
        <v>2</v>
      </c>
      <c r="Z7" s="74">
        <f>INDEX(Table13[],MATCH(Formulas!Y7,Table13[Week Number]),MATCH(Formulas!$Z$5,Table13[#Headers],0))</f>
        <v>402</v>
      </c>
      <c r="AA7" s="75"/>
      <c r="AB7" s="75"/>
      <c r="AC7" s="80"/>
      <c r="AD7" s="78" t="s">
        <v>40</v>
      </c>
      <c r="AE7" s="86">
        <f>SUM(Z6:Z18)</f>
        <v>7269</v>
      </c>
      <c r="AG7" s="89" t="s">
        <v>45</v>
      </c>
      <c r="AH7" s="75"/>
      <c r="AI7" s="75"/>
      <c r="AJ7" s="75"/>
      <c r="AK7" s="75"/>
      <c r="AP7" s="92"/>
      <c r="AQ7" s="107">
        <f>VLOOKUP($I$8,Data!$H$6:$P$10,3,0)</f>
        <v>0.73</v>
      </c>
      <c r="AR7" s="109">
        <f>100%-AQ7</f>
        <v>0.27</v>
      </c>
      <c r="AS7" s="111">
        <f>VLOOKUP($I$8,Data!$H$6:$P$10,5,0)</f>
        <v>0.69</v>
      </c>
      <c r="AT7" s="97">
        <f>VLOOKUP($I$8,Data!$H$6:$P$10,8,0)</f>
        <v>18954</v>
      </c>
    </row>
    <row r="8" spans="2:46" ht="31.5">
      <c r="B8" s="32">
        <v>2023</v>
      </c>
      <c r="I8" s="33">
        <v>2023</v>
      </c>
      <c r="K8" s="40" t="str">
        <f>IF(OR(I8=B12,I8=B11),K11+3,"")</f>
        <v/>
      </c>
      <c r="R8" s="57"/>
      <c r="S8" s="67">
        <f>B9</f>
        <v>2022</v>
      </c>
      <c r="T8" s="64">
        <v>1</v>
      </c>
      <c r="U8" s="61" t="str">
        <f t="shared" si="0"/>
        <v>20221</v>
      </c>
      <c r="V8" s="54" t="str">
        <f>Table13[[#Headers],[Purchases Items 2022]]</f>
        <v>Purchases Items 2022</v>
      </c>
      <c r="W8" s="45"/>
      <c r="X8" s="45"/>
      <c r="Y8" s="63">
        <v>3</v>
      </c>
      <c r="Z8" s="74">
        <f>INDEX(Table13[],MATCH(Formulas!Y8,Table13[Week Number]),MATCH(Formulas!$Z$5,Table13[#Headers],0))</f>
        <v>496</v>
      </c>
      <c r="AA8" s="75"/>
      <c r="AB8" s="75"/>
      <c r="AC8" s="80"/>
      <c r="AD8" s="78" t="s">
        <v>41</v>
      </c>
      <c r="AE8" s="86">
        <f>SUM(Z19:Z31)</f>
        <v>7606</v>
      </c>
      <c r="AG8" s="90" t="s">
        <v>46</v>
      </c>
      <c r="AH8" s="75"/>
      <c r="AI8" s="75"/>
      <c r="AJ8" s="75"/>
      <c r="AK8" s="75"/>
      <c r="AP8" s="92"/>
      <c r="AQ8" s="102"/>
      <c r="AR8" s="100"/>
      <c r="AS8" s="111">
        <f>VLOOKUP($I$8,Data!$H$6:$P$10,6,0)</f>
        <v>0.31</v>
      </c>
      <c r="AT8" s="97">
        <f>VLOOKUP($I$8,Data!$H$6:$P$10,9,0)</f>
        <v>5772.0558880508379</v>
      </c>
    </row>
    <row r="9" spans="2:46" ht="31.5">
      <c r="B9" s="33">
        <v>2022</v>
      </c>
      <c r="K9" s="40" t="str">
        <f>IF(OR(I8=B12,I8=B11,I8=B10),K11+2,"")</f>
        <v/>
      </c>
      <c r="R9" s="57"/>
      <c r="S9" s="68">
        <f>B8</f>
        <v>2023</v>
      </c>
      <c r="T9" s="65">
        <v>1</v>
      </c>
      <c r="U9" s="53" t="str">
        <f t="shared" si="0"/>
        <v>20231</v>
      </c>
      <c r="V9" s="55" t="str">
        <f>Table13[[#Headers],[Purchases Items 2023]]</f>
        <v>Purchases Items 2023</v>
      </c>
      <c r="W9" s="45"/>
      <c r="X9" s="45"/>
      <c r="Y9" s="63">
        <v>4</v>
      </c>
      <c r="Z9" s="74">
        <f>INDEX(Table13[],MATCH(Formulas!Y9,Table13[Week Number]),MATCH(Formulas!$Z$5,Table13[#Headers],0))</f>
        <v>856</v>
      </c>
      <c r="AA9" s="75"/>
      <c r="AB9" s="75"/>
      <c r="AC9" s="80"/>
      <c r="AD9" s="78" t="s">
        <v>42</v>
      </c>
      <c r="AE9" s="86">
        <f>SUM(Z32:Z44)</f>
        <v>6774</v>
      </c>
      <c r="AG9" s="90" t="s">
        <v>47</v>
      </c>
      <c r="AH9" s="75"/>
      <c r="AI9" s="75"/>
      <c r="AJ9" s="75"/>
      <c r="AK9" s="75"/>
      <c r="AP9" s="92"/>
      <c r="AQ9" s="103"/>
      <c r="AR9" s="101"/>
      <c r="AS9" s="95"/>
      <c r="AT9" s="95"/>
    </row>
    <row r="10" spans="2:46" ht="31.5">
      <c r="B10" s="34">
        <v>2021</v>
      </c>
      <c r="K10" s="40" t="str">
        <f>IF(OR(I8=B12,I8=B11,I8=B10,I8=B9),K11+1,"")</f>
        <v/>
      </c>
      <c r="R10" s="57"/>
      <c r="S10" s="67">
        <f>B12</f>
        <v>2019</v>
      </c>
      <c r="T10" s="45">
        <v>2</v>
      </c>
      <c r="U10" s="51" t="str">
        <f t="shared" si="0"/>
        <v>20192</v>
      </c>
      <c r="V10" s="54" t="str">
        <f>Table13[[#Headers],[Sales 2019]]</f>
        <v>Sales 2019</v>
      </c>
      <c r="W10" s="45"/>
      <c r="X10" s="45"/>
      <c r="Y10" s="63">
        <v>5</v>
      </c>
      <c r="Z10" s="74">
        <f>INDEX(Table13[],MATCH(Formulas!Y10,Table13[Week Number]),MATCH(Formulas!$Z$5,Table13[#Headers],0))</f>
        <v>888</v>
      </c>
      <c r="AA10" s="75"/>
      <c r="AB10" s="75"/>
      <c r="AC10" s="80"/>
      <c r="AD10" s="81" t="s">
        <v>43</v>
      </c>
      <c r="AE10" s="87">
        <f>SUM(Z45:Z57)</f>
        <v>6673</v>
      </c>
      <c r="AF10" s="75"/>
      <c r="AG10" s="90" t="s">
        <v>48</v>
      </c>
      <c r="AH10" s="75"/>
      <c r="AI10" s="75"/>
      <c r="AJ10" s="75"/>
      <c r="AK10" s="75"/>
      <c r="AP10" s="92"/>
      <c r="AQ10" s="104"/>
      <c r="AS10" s="96"/>
      <c r="AT10" s="96"/>
    </row>
    <row r="11" spans="2:46" ht="18.75">
      <c r="B11" s="35">
        <v>2020</v>
      </c>
      <c r="K11" s="44">
        <f>I8</f>
        <v>2023</v>
      </c>
      <c r="R11" s="57"/>
      <c r="S11" s="67">
        <f>B11</f>
        <v>2020</v>
      </c>
      <c r="T11" s="45">
        <v>2</v>
      </c>
      <c r="U11" s="51" t="str">
        <f t="shared" si="0"/>
        <v>20202</v>
      </c>
      <c r="V11" s="54" t="str">
        <f>Table13[[#Headers],[Sales 2020]]</f>
        <v>Sales 2020</v>
      </c>
      <c r="W11" s="45"/>
      <c r="X11" s="45"/>
      <c r="Y11" s="63">
        <v>6</v>
      </c>
      <c r="Z11" s="74">
        <f>INDEX(Table13[],MATCH(Formulas!Y11,Table13[Week Number]),MATCH(Formulas!$Z$5,Table13[#Headers],0))</f>
        <v>406</v>
      </c>
      <c r="AA11" s="75"/>
      <c r="AB11" s="75"/>
      <c r="AC11" s="75"/>
      <c r="AD11" s="75"/>
      <c r="AF11" s="75"/>
      <c r="AG11" s="75"/>
      <c r="AH11" s="75"/>
      <c r="AI11" s="75"/>
      <c r="AJ11" s="75"/>
      <c r="AK11" s="75"/>
    </row>
    <row r="12" spans="2:46">
      <c r="B12" s="35">
        <v>2019</v>
      </c>
      <c r="K12" s="41">
        <f>IF(OR(I8=B8,I8=B11,I8=B10,I8=B9),K11-1,"")</f>
        <v>2022</v>
      </c>
      <c r="R12" s="57"/>
      <c r="S12" s="67">
        <f>B10</f>
        <v>2021</v>
      </c>
      <c r="T12" s="45">
        <v>2</v>
      </c>
      <c r="U12" s="51" t="str">
        <f t="shared" si="0"/>
        <v>20212</v>
      </c>
      <c r="V12" s="54" t="str">
        <f>Table13[[#Headers],[Sales 2021]]</f>
        <v>Sales 2021</v>
      </c>
      <c r="W12" s="45"/>
      <c r="X12" s="45"/>
      <c r="Y12" s="63">
        <v>7</v>
      </c>
      <c r="Z12" s="74">
        <f>INDEX(Table13[],MATCH(Formulas!Y12,Table13[Week Number]),MATCH(Formulas!$Z$5,Table13[#Headers],0))</f>
        <v>567</v>
      </c>
      <c r="AA12" s="75"/>
      <c r="AB12" s="75"/>
      <c r="AC12" s="75"/>
      <c r="AD12" s="75"/>
      <c r="AF12" s="75"/>
      <c r="AG12" s="75"/>
      <c r="AH12" s="75"/>
      <c r="AI12" s="75"/>
      <c r="AJ12" s="75"/>
      <c r="AK12" s="75"/>
    </row>
    <row r="13" spans="2:46">
      <c r="K13" s="41">
        <f>IF(OR(I8=B8,I8=B9,I8=B10),K11-2,"")</f>
        <v>2021</v>
      </c>
      <c r="R13" s="57"/>
      <c r="S13" s="67">
        <f>B9</f>
        <v>2022</v>
      </c>
      <c r="T13" s="45">
        <v>2</v>
      </c>
      <c r="U13" s="51" t="str">
        <f t="shared" si="0"/>
        <v>20222</v>
      </c>
      <c r="V13" s="54" t="str">
        <f>Table13[[#Headers],[Sales 2022]]</f>
        <v>Sales 2022</v>
      </c>
      <c r="W13" s="45"/>
      <c r="X13" s="45"/>
      <c r="Y13" s="63">
        <v>8</v>
      </c>
      <c r="Z13" s="74">
        <f>INDEX(Table13[],MATCH(Formulas!Y13,Table13[Week Number]),MATCH(Formulas!$Z$5,Table13[#Headers],0))</f>
        <v>993</v>
      </c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</row>
    <row r="14" spans="2:46">
      <c r="K14" s="41">
        <f>IF(OR(I8=B8,I8=B9),K11-3,"")</f>
        <v>2020</v>
      </c>
      <c r="R14" s="57"/>
      <c r="S14" s="68">
        <f>B8</f>
        <v>2023</v>
      </c>
      <c r="T14" s="53">
        <v>2</v>
      </c>
      <c r="U14" s="52" t="str">
        <f t="shared" si="0"/>
        <v>20232</v>
      </c>
      <c r="V14" s="55" t="str">
        <f>Table13[[#Headers],[Sales 2023]]</f>
        <v>Sales 2023</v>
      </c>
      <c r="W14" s="45"/>
      <c r="X14" s="45"/>
      <c r="Y14" s="63">
        <v>9</v>
      </c>
      <c r="Z14" s="74">
        <f>INDEX(Table13[],MATCH(Formulas!Y14,Table13[Week Number]),MATCH(Formulas!$Z$5,Table13[#Headers],0))</f>
        <v>327</v>
      </c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2:46">
      <c r="K15" s="42">
        <f>IF(I8=B8,K11-4,"")</f>
        <v>2019</v>
      </c>
      <c r="R15" s="57"/>
      <c r="S15" s="67">
        <f>B12</f>
        <v>2019</v>
      </c>
      <c r="T15" s="45">
        <v>3</v>
      </c>
      <c r="U15" s="51" t="str">
        <f t="shared" si="0"/>
        <v>20193</v>
      </c>
      <c r="V15" s="54" t="str">
        <f>Table13[[#Headers],[Final Profits 2019]]</f>
        <v>Final Profits 2019</v>
      </c>
      <c r="W15" s="45"/>
      <c r="X15" s="45"/>
      <c r="Y15" s="63">
        <v>10</v>
      </c>
      <c r="Z15" s="74">
        <f>INDEX(Table13[],MATCH(Formulas!Y15,Table13[Week Number]),MATCH(Formulas!$Z$5,Table13[#Headers],0))</f>
        <v>462</v>
      </c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2:46">
      <c r="R16" s="57"/>
      <c r="S16" s="67">
        <f>B11</f>
        <v>2020</v>
      </c>
      <c r="T16" s="45">
        <v>3</v>
      </c>
      <c r="U16" s="51" t="str">
        <f t="shared" si="0"/>
        <v>20203</v>
      </c>
      <c r="V16" s="54" t="str">
        <f>Table13[[#Headers],[Final Profits 2020]]</f>
        <v>Final Profits 2020</v>
      </c>
      <c r="W16" s="45"/>
      <c r="X16" s="45"/>
      <c r="Y16" s="63">
        <v>11</v>
      </c>
      <c r="Z16" s="74">
        <f>INDEX(Table13[],MATCH(Formulas!Y16,Table13[Week Number]),MATCH(Formulas!$Z$5,Table13[#Headers],0))</f>
        <v>200</v>
      </c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8:37">
      <c r="R17" s="57"/>
      <c r="S17" s="67">
        <f>B10</f>
        <v>2021</v>
      </c>
      <c r="T17" s="45">
        <v>3</v>
      </c>
      <c r="U17" s="51" t="str">
        <f t="shared" si="0"/>
        <v>20213</v>
      </c>
      <c r="V17" s="54" t="str">
        <f>Table13[[#Headers],[Final Profits 2021]]</f>
        <v>Final Profits 2021</v>
      </c>
      <c r="W17" s="45"/>
      <c r="X17" s="45"/>
      <c r="Y17" s="63">
        <v>12</v>
      </c>
      <c r="Z17" s="74">
        <f>INDEX(Table13[],MATCH(Formulas!Y17,Table13[Week Number]),MATCH(Formulas!$Z$5,Table13[#Headers],0))</f>
        <v>384</v>
      </c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</row>
    <row r="18" spans="18:37">
      <c r="R18" s="57"/>
      <c r="S18" s="67">
        <f>B9</f>
        <v>2022</v>
      </c>
      <c r="T18" s="45">
        <v>3</v>
      </c>
      <c r="U18" s="51" t="str">
        <f t="shared" si="0"/>
        <v>20223</v>
      </c>
      <c r="V18" s="54" t="str">
        <f>Table13[[#Headers],[Final Profits 2022]]</f>
        <v>Final Profits 2022</v>
      </c>
      <c r="W18" s="45"/>
      <c r="X18" s="45"/>
      <c r="Y18" s="63">
        <v>13</v>
      </c>
      <c r="Z18" s="74">
        <f>INDEX(Table13[],MATCH(Formulas!Y18,Table13[Week Number]),MATCH(Formulas!$Z$5,Table13[#Headers],0))</f>
        <v>818</v>
      </c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8:37">
      <c r="R19" s="57"/>
      <c r="S19" s="67">
        <f>B8</f>
        <v>2023</v>
      </c>
      <c r="T19" s="45">
        <v>3</v>
      </c>
      <c r="U19" s="51" t="str">
        <f t="shared" si="0"/>
        <v>20233</v>
      </c>
      <c r="V19" s="54" t="str">
        <f>Table13[[#Headers],[Final Profits 2023]]</f>
        <v>Final Profits 2023</v>
      </c>
      <c r="W19" s="45"/>
      <c r="X19" s="45"/>
      <c r="Y19" s="63">
        <v>14</v>
      </c>
      <c r="Z19" s="74">
        <f>INDEX(Table13[],MATCH(Formulas!Y19,Table13[Week Number]),MATCH(Formulas!$Z$5,Table13[#Headers],0))</f>
        <v>622</v>
      </c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</row>
    <row r="20" spans="18:37">
      <c r="R20" s="57"/>
      <c r="S20" s="69"/>
      <c r="T20" s="59"/>
      <c r="U20" s="50"/>
      <c r="V20" s="58"/>
      <c r="Y20" s="63">
        <v>15</v>
      </c>
      <c r="Z20" s="74">
        <f>INDEX(Table13[],MATCH(Formulas!Y20,Table13[Week Number]),MATCH(Formulas!$Z$5,Table13[#Headers],0))</f>
        <v>438</v>
      </c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</row>
    <row r="21" spans="18:37">
      <c r="Y21" s="63">
        <v>16</v>
      </c>
      <c r="Z21" s="74">
        <f>INDEX(Table13[],MATCH(Formulas!Y21,Table13[Week Number]),MATCH(Formulas!$Z$5,Table13[#Headers],0))</f>
        <v>967</v>
      </c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</row>
    <row r="22" spans="18:37">
      <c r="Y22" s="63">
        <v>17</v>
      </c>
      <c r="Z22" s="74">
        <f>INDEX(Table13[],MATCH(Formulas!Y22,Table13[Week Number]),MATCH(Formulas!$Z$5,Table13[#Headers],0))</f>
        <v>543</v>
      </c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</row>
    <row r="23" spans="18:37">
      <c r="Y23" s="63">
        <v>18</v>
      </c>
      <c r="Z23" s="74">
        <f>INDEX(Table13[],MATCH(Formulas!Y23,Table13[Week Number]),MATCH(Formulas!$Z$5,Table13[#Headers],0))</f>
        <v>545</v>
      </c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</row>
    <row r="24" spans="18:37">
      <c r="Y24" s="63">
        <v>19</v>
      </c>
      <c r="Z24" s="74">
        <f>INDEX(Table13[],MATCH(Formulas!Y24,Table13[Week Number]),MATCH(Formulas!$Z$5,Table13[#Headers],0))</f>
        <v>638</v>
      </c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</row>
    <row r="25" spans="18:37">
      <c r="Y25" s="63">
        <v>20</v>
      </c>
      <c r="Z25" s="74">
        <f>INDEX(Table13[],MATCH(Formulas!Y25,Table13[Week Number]),MATCH(Formulas!$Z$5,Table13[#Headers],0))</f>
        <v>317</v>
      </c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</row>
    <row r="26" spans="18:37">
      <c r="Y26" s="63">
        <v>21</v>
      </c>
      <c r="Z26" s="74">
        <f>INDEX(Table13[],MATCH(Formulas!Y26,Table13[Week Number]),MATCH(Formulas!$Z$5,Table13[#Headers],0))</f>
        <v>939</v>
      </c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</row>
    <row r="27" spans="18:37">
      <c r="Y27" s="63">
        <v>22</v>
      </c>
      <c r="Z27" s="74">
        <f>INDEX(Table13[],MATCH(Formulas!Y27,Table13[Week Number]),MATCH(Formulas!$Z$5,Table13[#Headers],0))</f>
        <v>826</v>
      </c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</row>
    <row r="28" spans="18:37">
      <c r="Y28" s="63">
        <v>23</v>
      </c>
      <c r="Z28" s="74">
        <f>INDEX(Table13[],MATCH(Formulas!Y28,Table13[Week Number]),MATCH(Formulas!$Z$5,Table13[#Headers],0))</f>
        <v>422</v>
      </c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</row>
    <row r="29" spans="18:37">
      <c r="Y29" s="63">
        <v>24</v>
      </c>
      <c r="Z29" s="74">
        <f>INDEX(Table13[],MATCH(Formulas!Y29,Table13[Week Number]),MATCH(Formulas!$Z$5,Table13[#Headers],0))</f>
        <v>405</v>
      </c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</row>
    <row r="30" spans="18:37">
      <c r="Y30" s="63">
        <v>25</v>
      </c>
      <c r="Z30" s="74">
        <f>INDEX(Table13[],MATCH(Formulas!Y30,Table13[Week Number]),MATCH(Formulas!$Z$5,Table13[#Headers],0))</f>
        <v>137</v>
      </c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</row>
    <row r="31" spans="18:37">
      <c r="Y31" s="63">
        <v>26</v>
      </c>
      <c r="Z31" s="74">
        <f>INDEX(Table13[],MATCH(Formulas!Y31,Table13[Week Number]),MATCH(Formulas!$Z$5,Table13[#Headers],0))</f>
        <v>807</v>
      </c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</row>
    <row r="32" spans="18:37">
      <c r="Y32" s="63">
        <v>27</v>
      </c>
      <c r="Z32" s="74">
        <f>INDEX(Table13[],MATCH(Formulas!Y32,Table13[Week Number]),MATCH(Formulas!$Z$5,Table13[#Headers],0))</f>
        <v>556</v>
      </c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</row>
    <row r="33" spans="25:37">
      <c r="Y33" s="63">
        <v>28</v>
      </c>
      <c r="Z33" s="74">
        <f>INDEX(Table13[],MATCH(Formulas!Y33,Table13[Week Number]),MATCH(Formulas!$Z$5,Table13[#Headers],0))</f>
        <v>547</v>
      </c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</row>
    <row r="34" spans="25:37">
      <c r="Y34" s="63">
        <v>29</v>
      </c>
      <c r="Z34" s="74">
        <f>INDEX(Table13[],MATCH(Formulas!Y34,Table13[Week Number]),MATCH(Formulas!$Z$5,Table13[#Headers],0))</f>
        <v>771</v>
      </c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</row>
    <row r="35" spans="25:37">
      <c r="Y35" s="63">
        <v>30</v>
      </c>
      <c r="Z35" s="74">
        <f>INDEX(Table13[],MATCH(Formulas!Y35,Table13[Week Number]),MATCH(Formulas!$Z$5,Table13[#Headers],0))</f>
        <v>532</v>
      </c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</row>
    <row r="36" spans="25:37">
      <c r="Y36" s="63">
        <v>31</v>
      </c>
      <c r="Z36" s="74">
        <f>INDEX(Table13[],MATCH(Formulas!Y36,Table13[Week Number]),MATCH(Formulas!$Z$5,Table13[#Headers],0))</f>
        <v>371</v>
      </c>
      <c r="AA36" s="75"/>
      <c r="AB36" s="75"/>
      <c r="AC36" s="75"/>
      <c r="AD36" s="75"/>
      <c r="AE36" s="75"/>
      <c r="AF36" s="75"/>
      <c r="AG36" s="75"/>
      <c r="AH36" s="75"/>
      <c r="AI36" s="75"/>
      <c r="AJ36" s="75"/>
    </row>
    <row r="37" spans="25:37">
      <c r="Y37" s="63">
        <v>32</v>
      </c>
      <c r="Z37" s="74">
        <f>INDEX(Table13[],MATCH(Formulas!Y37,Table13[Week Number]),MATCH(Formulas!$Z$5,Table13[#Headers],0))</f>
        <v>919</v>
      </c>
      <c r="AA37" s="75"/>
      <c r="AB37" s="75"/>
      <c r="AC37" s="75"/>
      <c r="AD37" s="75"/>
      <c r="AE37" s="75"/>
      <c r="AF37" s="75"/>
      <c r="AG37" s="75"/>
      <c r="AH37" s="75"/>
      <c r="AI37" s="75"/>
      <c r="AJ37" s="75"/>
    </row>
    <row r="38" spans="25:37">
      <c r="Y38" s="63">
        <v>33</v>
      </c>
      <c r="Z38" s="74">
        <f>INDEX(Table13[],MATCH(Formulas!Y38,Table13[Week Number]),MATCH(Formulas!$Z$5,Table13[#Headers],0))</f>
        <v>579</v>
      </c>
      <c r="AA38" s="75"/>
      <c r="AB38" s="75"/>
      <c r="AC38" s="75"/>
      <c r="AD38" s="75"/>
      <c r="AE38" s="75"/>
      <c r="AF38" s="75"/>
      <c r="AG38" s="75"/>
      <c r="AH38" s="75"/>
      <c r="AI38" s="75"/>
      <c r="AJ38" s="75"/>
    </row>
    <row r="39" spans="25:37">
      <c r="Y39" s="63">
        <v>34</v>
      </c>
      <c r="Z39" s="74">
        <f>INDEX(Table13[],MATCH(Formulas!Y39,Table13[Week Number]),MATCH(Formulas!$Z$5,Table13[#Headers],0))</f>
        <v>435</v>
      </c>
      <c r="AA39" s="75"/>
      <c r="AB39" s="75"/>
      <c r="AC39" s="75"/>
      <c r="AD39" s="75"/>
      <c r="AE39" s="75"/>
      <c r="AF39" s="75"/>
      <c r="AG39" s="75"/>
      <c r="AH39" s="75"/>
      <c r="AI39" s="75"/>
      <c r="AJ39" s="75"/>
    </row>
    <row r="40" spans="25:37">
      <c r="Y40" s="63">
        <v>35</v>
      </c>
      <c r="Z40" s="74">
        <f>INDEX(Table13[],MATCH(Formulas!Y40,Table13[Week Number]),MATCH(Formulas!$Z$5,Table13[#Headers],0))</f>
        <v>217</v>
      </c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25:37">
      <c r="Y41" s="63">
        <v>36</v>
      </c>
      <c r="Z41" s="74">
        <f>INDEX(Table13[],MATCH(Formulas!Y41,Table13[Week Number]),MATCH(Formulas!$Z$5,Table13[#Headers],0))</f>
        <v>126</v>
      </c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25:37">
      <c r="Y42" s="63">
        <v>37</v>
      </c>
      <c r="Z42" s="74">
        <f>INDEX(Table13[],MATCH(Formulas!Y42,Table13[Week Number]),MATCH(Formulas!$Z$5,Table13[#Headers],0))</f>
        <v>118</v>
      </c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25:37">
      <c r="Y43" s="63">
        <v>38</v>
      </c>
      <c r="Z43" s="74">
        <f>INDEX(Table13[],MATCH(Formulas!Y43,Table13[Week Number]),MATCH(Formulas!$Z$5,Table13[#Headers],0))</f>
        <v>799</v>
      </c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25:37">
      <c r="Y44" s="63">
        <v>39</v>
      </c>
      <c r="Z44" s="74">
        <f>INDEX(Table13[],MATCH(Formulas!Y44,Table13[Week Number]),MATCH(Formulas!$Z$5,Table13[#Headers],0))</f>
        <v>804</v>
      </c>
      <c r="AA44" s="75"/>
      <c r="AB44" s="75"/>
      <c r="AC44" s="75"/>
      <c r="AD44" s="75"/>
      <c r="AE44" s="75"/>
      <c r="AF44" s="75"/>
      <c r="AG44" s="75"/>
      <c r="AH44" s="75"/>
      <c r="AI44" s="75"/>
      <c r="AJ44" s="75"/>
    </row>
    <row r="45" spans="25:37">
      <c r="Y45" s="63">
        <v>40</v>
      </c>
      <c r="Z45" s="74">
        <f>INDEX(Table13[],MATCH(Formulas!Y45,Table13[Week Number]),MATCH(Formulas!$Z$5,Table13[#Headers],0))</f>
        <v>630</v>
      </c>
      <c r="AA45" s="75"/>
      <c r="AB45" s="75"/>
      <c r="AC45" s="75"/>
      <c r="AD45" s="75"/>
      <c r="AE45" s="75"/>
      <c r="AF45" s="75"/>
      <c r="AG45" s="75"/>
      <c r="AH45" s="75"/>
      <c r="AI45" s="75"/>
      <c r="AJ45" s="75"/>
    </row>
    <row r="46" spans="25:37">
      <c r="Y46" s="63">
        <v>41</v>
      </c>
      <c r="Z46" s="74">
        <f>INDEX(Table13[],MATCH(Formulas!Y46,Table13[Week Number]),MATCH(Formulas!$Z$5,Table13[#Headers],0))</f>
        <v>618</v>
      </c>
      <c r="AA46" s="75"/>
      <c r="AB46" s="75"/>
      <c r="AC46" s="75"/>
      <c r="AD46" s="75"/>
      <c r="AE46" s="75"/>
      <c r="AF46" s="75"/>
      <c r="AG46" s="75"/>
      <c r="AH46" s="75"/>
      <c r="AI46" s="75"/>
      <c r="AJ46" s="75"/>
    </row>
    <row r="47" spans="25:37">
      <c r="Y47" s="63">
        <v>42</v>
      </c>
      <c r="Z47" s="74">
        <f>INDEX(Table13[],MATCH(Formulas!Y47,Table13[Week Number]),MATCH(Formulas!$Z$5,Table13[#Headers],0))</f>
        <v>452</v>
      </c>
      <c r="AA47" s="75"/>
      <c r="AB47" s="75"/>
      <c r="AC47" s="75"/>
      <c r="AD47" s="75"/>
      <c r="AE47" s="75"/>
      <c r="AF47" s="75"/>
      <c r="AG47" s="75"/>
      <c r="AH47" s="75"/>
      <c r="AI47" s="75"/>
      <c r="AJ47" s="75"/>
    </row>
    <row r="48" spans="25:37">
      <c r="Y48" s="63">
        <v>43</v>
      </c>
      <c r="Z48" s="74">
        <f>INDEX(Table13[],MATCH(Formulas!Y48,Table13[Week Number]),MATCH(Formulas!$Z$5,Table13[#Headers],0))</f>
        <v>350</v>
      </c>
      <c r="AA48" s="75"/>
      <c r="AB48" s="75"/>
      <c r="AC48" s="75"/>
      <c r="AD48" s="75"/>
      <c r="AE48" s="75"/>
      <c r="AF48" s="75"/>
      <c r="AG48" s="75"/>
      <c r="AH48" s="75"/>
      <c r="AI48" s="75"/>
      <c r="AJ48" s="75"/>
    </row>
    <row r="49" spans="25:36">
      <c r="Y49" s="63">
        <v>44</v>
      </c>
      <c r="Z49" s="74">
        <f>INDEX(Table13[],MATCH(Formulas!Y49,Table13[Week Number]),MATCH(Formulas!$Z$5,Table13[#Headers],0))</f>
        <v>309</v>
      </c>
      <c r="AA49" s="75"/>
      <c r="AB49" s="75"/>
      <c r="AC49" s="75"/>
      <c r="AD49" s="75"/>
      <c r="AE49" s="75"/>
      <c r="AF49" s="75"/>
      <c r="AG49" s="75"/>
      <c r="AH49" s="75"/>
      <c r="AI49" s="75"/>
      <c r="AJ49" s="75"/>
    </row>
    <row r="50" spans="25:36">
      <c r="Y50" s="63">
        <v>45</v>
      </c>
      <c r="Z50" s="74">
        <f>INDEX(Table13[],MATCH(Formulas!Y50,Table13[Week Number]),MATCH(Formulas!$Z$5,Table13[#Headers],0))</f>
        <v>470</v>
      </c>
      <c r="AA50" s="75"/>
      <c r="AB50" s="75"/>
      <c r="AC50" s="75"/>
      <c r="AD50" s="75"/>
      <c r="AE50" s="75"/>
      <c r="AF50" s="75"/>
      <c r="AG50" s="75"/>
      <c r="AH50" s="75"/>
      <c r="AI50" s="75"/>
      <c r="AJ50" s="75"/>
    </row>
    <row r="51" spans="25:36">
      <c r="Y51" s="63">
        <v>46</v>
      </c>
      <c r="Z51" s="74">
        <f>INDEX(Table13[],MATCH(Formulas!Y51,Table13[Week Number]),MATCH(Formulas!$Z$5,Table13[#Headers],0))</f>
        <v>294</v>
      </c>
      <c r="AA51" s="75"/>
      <c r="AB51" s="75"/>
      <c r="AC51" s="75"/>
      <c r="AD51" s="75"/>
      <c r="AE51" s="75"/>
      <c r="AF51" s="75"/>
      <c r="AG51" s="75"/>
      <c r="AH51" s="75"/>
      <c r="AI51" s="75"/>
      <c r="AJ51" s="75"/>
    </row>
    <row r="52" spans="25:36">
      <c r="Y52" s="63">
        <v>47</v>
      </c>
      <c r="Z52" s="74">
        <f>INDEX(Table13[],MATCH(Formulas!Y52,Table13[Week Number]),MATCH(Formulas!$Z$5,Table13[#Headers],0))</f>
        <v>369</v>
      </c>
      <c r="AA52" s="75"/>
      <c r="AB52" s="75"/>
      <c r="AC52" s="75"/>
      <c r="AD52" s="75"/>
      <c r="AE52" s="75"/>
      <c r="AF52" s="75"/>
      <c r="AG52" s="75"/>
      <c r="AH52" s="75"/>
      <c r="AI52" s="75"/>
      <c r="AJ52" s="75"/>
    </row>
    <row r="53" spans="25:36">
      <c r="Y53" s="63">
        <v>48</v>
      </c>
      <c r="Z53" s="74">
        <f>INDEX(Table13[],MATCH(Formulas!Y53,Table13[Week Number]),MATCH(Formulas!$Z$5,Table13[#Headers],0))</f>
        <v>312</v>
      </c>
      <c r="AA53" s="75"/>
      <c r="AB53" s="75"/>
      <c r="AC53" s="75"/>
      <c r="AD53" s="75"/>
      <c r="AE53" s="75"/>
      <c r="AF53" s="75"/>
      <c r="AG53" s="75"/>
      <c r="AH53" s="75"/>
      <c r="AI53" s="75"/>
      <c r="AJ53" s="75"/>
    </row>
    <row r="54" spans="25:36">
      <c r="Y54" s="63">
        <v>49</v>
      </c>
      <c r="Z54" s="74">
        <f>INDEX(Table13[],MATCH(Formulas!Y54,Table13[Week Number]),MATCH(Formulas!$Z$5,Table13[#Headers],0))</f>
        <v>798</v>
      </c>
      <c r="AA54" s="75"/>
      <c r="AB54" s="75"/>
      <c r="AC54" s="75"/>
      <c r="AD54" s="75"/>
      <c r="AE54" s="75"/>
      <c r="AF54" s="75"/>
      <c r="AG54" s="75"/>
      <c r="AH54" s="75"/>
      <c r="AI54" s="75"/>
      <c r="AJ54" s="75"/>
    </row>
    <row r="55" spans="25:36">
      <c r="Y55" s="63">
        <v>50</v>
      </c>
      <c r="Z55" s="74">
        <f>INDEX(Table13[],MATCH(Formulas!Y55,Table13[Week Number]),MATCH(Formulas!$Z$5,Table13[#Headers],0))</f>
        <v>625</v>
      </c>
      <c r="AA55" s="75"/>
      <c r="AB55" s="75"/>
      <c r="AC55" s="75"/>
      <c r="AD55" s="75"/>
      <c r="AE55" s="75"/>
      <c r="AF55" s="75"/>
      <c r="AG55" s="75"/>
      <c r="AH55" s="75"/>
      <c r="AI55" s="75"/>
      <c r="AJ55" s="75"/>
    </row>
    <row r="56" spans="25:36">
      <c r="Y56" s="63">
        <v>51</v>
      </c>
      <c r="Z56" s="74">
        <f>INDEX(Table13[],MATCH(Formulas!Y56,Table13[Week Number]),MATCH(Formulas!$Z$5,Table13[#Headers],0))</f>
        <v>714</v>
      </c>
      <c r="AA56" s="75"/>
      <c r="AB56" s="75"/>
      <c r="AC56" s="75"/>
      <c r="AD56" s="75"/>
      <c r="AE56" s="75"/>
      <c r="AF56" s="75"/>
      <c r="AG56" s="75"/>
      <c r="AH56" s="75"/>
      <c r="AI56" s="75"/>
      <c r="AJ56" s="75"/>
    </row>
    <row r="57" spans="25:36">
      <c r="Y57" s="63">
        <v>52</v>
      </c>
      <c r="Z57" s="74">
        <f>INDEX(Table13[],MATCH(Formulas!Y57,Table13[Week Number]),MATCH(Formulas!$Z$5,Table13[#Headers],0))</f>
        <v>732</v>
      </c>
      <c r="AA57" s="75"/>
      <c r="AB57" s="75"/>
      <c r="AC57" s="75"/>
      <c r="AD57" s="75"/>
      <c r="AE57" s="75"/>
      <c r="AF57" s="75"/>
      <c r="AG57" s="75"/>
      <c r="AH57" s="75"/>
      <c r="AI57" s="75"/>
      <c r="AJ57" s="75"/>
    </row>
    <row r="58" spans="25:36">
      <c r="Y58" s="77"/>
      <c r="Z58" s="7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CD13-F20B-4CB8-A9B2-FAB7BFDDF66F}">
  <sheetPr codeName="Sheet1"/>
  <dimension ref="A1:X84"/>
  <sheetViews>
    <sheetView showGridLines="0" showRowColHeaders="0" tabSelected="1" zoomScale="55" zoomScaleNormal="55" workbookViewId="0">
      <selection activeCell="Z46" sqref="Z46"/>
    </sheetView>
  </sheetViews>
  <sheetFormatPr defaultRowHeight="15.75"/>
  <sheetData>
    <row r="1" spans="1:24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18"/>
      <c r="V1" s="118"/>
      <c r="W1" s="118"/>
      <c r="X1" s="118"/>
    </row>
    <row r="2" spans="1:2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18"/>
      <c r="V2" s="118"/>
      <c r="W2" s="118"/>
      <c r="X2" s="118"/>
    </row>
    <row r="3" spans="1:2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18"/>
      <c r="V3" s="118"/>
      <c r="W3" s="118"/>
      <c r="X3" s="118"/>
    </row>
    <row r="4" spans="1:2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18"/>
      <c r="V4" s="118"/>
      <c r="W4" s="118"/>
      <c r="X4" s="118"/>
    </row>
    <row r="5" spans="1:24">
      <c r="A5" s="12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12"/>
      <c r="S5" s="12"/>
      <c r="T5" s="12"/>
      <c r="U5" s="118"/>
      <c r="V5" s="118"/>
      <c r="W5" s="118"/>
      <c r="X5" s="118"/>
    </row>
    <row r="6" spans="1:24">
      <c r="A6" s="12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2"/>
      <c r="S6" s="12"/>
      <c r="T6" s="12"/>
      <c r="U6" s="118"/>
      <c r="V6" s="118"/>
      <c r="W6" s="118"/>
      <c r="X6" s="118"/>
    </row>
    <row r="7" spans="1:24">
      <c r="A7" s="12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2"/>
      <c r="S7" s="12"/>
      <c r="T7" s="12"/>
      <c r="U7" s="118"/>
      <c r="V7" s="118"/>
      <c r="W7" s="118"/>
      <c r="X7" s="118"/>
    </row>
    <row r="8" spans="1:24">
      <c r="A8" s="12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12"/>
      <c r="S8" s="12"/>
      <c r="T8" s="12"/>
      <c r="U8" s="118"/>
      <c r="V8" s="118"/>
      <c r="W8" s="118"/>
      <c r="X8" s="118"/>
    </row>
    <row r="9" spans="1:24">
      <c r="A9" s="12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12"/>
      <c r="S9" s="12"/>
      <c r="T9" s="12"/>
      <c r="U9" s="118"/>
      <c r="V9" s="118"/>
      <c r="W9" s="118"/>
      <c r="X9" s="118"/>
    </row>
    <row r="10" spans="1:24">
      <c r="A10" s="12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2"/>
      <c r="S10" s="12"/>
      <c r="T10" s="12"/>
      <c r="U10" s="118"/>
      <c r="V10" s="118"/>
      <c r="W10" s="118"/>
      <c r="X10" s="118"/>
    </row>
    <row r="11" spans="1:24">
      <c r="A11" s="1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2"/>
      <c r="S11" s="12"/>
      <c r="T11" s="12"/>
      <c r="U11" s="118"/>
      <c r="V11" s="118"/>
      <c r="W11" s="118"/>
      <c r="X11" s="118"/>
    </row>
    <row r="12" spans="1:24">
      <c r="A12" s="12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12"/>
      <c r="S12" s="12"/>
      <c r="T12" s="12"/>
      <c r="U12" s="118"/>
      <c r="V12" s="118"/>
      <c r="W12" s="118"/>
      <c r="X12" s="118"/>
    </row>
    <row r="13" spans="1:24">
      <c r="A13" s="13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28"/>
      <c r="S13" s="28"/>
      <c r="T13" s="28"/>
      <c r="U13" s="118"/>
      <c r="V13" s="118"/>
      <c r="W13" s="118"/>
      <c r="X13" s="118"/>
    </row>
    <row r="14" spans="1:24">
      <c r="A14" s="14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7"/>
      <c r="S14" s="17"/>
      <c r="T14" s="17"/>
      <c r="U14" s="119"/>
      <c r="V14" s="119"/>
      <c r="W14" s="119"/>
      <c r="X14" s="119"/>
    </row>
    <row r="15" spans="1:24">
      <c r="A15" s="14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7"/>
      <c r="S15" s="17"/>
      <c r="T15" s="17"/>
      <c r="U15" s="119"/>
      <c r="V15" s="119"/>
      <c r="W15" s="119"/>
      <c r="X15" s="119"/>
    </row>
    <row r="16" spans="1:24">
      <c r="A16" s="14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7"/>
      <c r="S16" s="17"/>
      <c r="T16" s="17"/>
      <c r="U16" s="119"/>
      <c r="V16" s="119"/>
      <c r="W16" s="119"/>
      <c r="X16" s="119"/>
    </row>
    <row r="17" spans="1:24">
      <c r="A17" s="14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7"/>
      <c r="S17" s="17"/>
      <c r="T17" s="17"/>
      <c r="U17" s="119"/>
      <c r="V17" s="119"/>
      <c r="W17" s="119"/>
      <c r="X17" s="119"/>
    </row>
    <row r="18" spans="1:24">
      <c r="A18" s="14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7"/>
      <c r="S18" s="17"/>
      <c r="T18" s="17"/>
      <c r="U18" s="119"/>
      <c r="V18" s="119"/>
      <c r="W18" s="119"/>
      <c r="X18" s="119"/>
    </row>
    <row r="19" spans="1:24">
      <c r="A19" s="14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7"/>
      <c r="S19" s="17"/>
      <c r="T19" s="17"/>
      <c r="U19" s="119"/>
      <c r="V19" s="119"/>
      <c r="W19" s="119"/>
      <c r="X19" s="119"/>
    </row>
    <row r="20" spans="1:24">
      <c r="A20" s="14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7"/>
      <c r="S20" s="17"/>
      <c r="T20" s="17"/>
      <c r="U20" s="119"/>
      <c r="V20" s="119"/>
      <c r="W20" s="119"/>
      <c r="X20" s="119"/>
    </row>
    <row r="21" spans="1:24">
      <c r="A21" s="14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7"/>
      <c r="S21" s="17"/>
      <c r="T21" s="17"/>
      <c r="U21" s="119"/>
      <c r="V21" s="119"/>
      <c r="W21" s="119"/>
      <c r="X21" s="119"/>
    </row>
    <row r="22" spans="1:24">
      <c r="A22" s="14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7"/>
      <c r="S22" s="17"/>
      <c r="T22" s="17"/>
      <c r="U22" s="119"/>
      <c r="V22" s="119"/>
      <c r="W22" s="119"/>
      <c r="X22" s="119"/>
    </row>
    <row r="23" spans="1:24">
      <c r="A23" s="14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7"/>
      <c r="S23" s="17"/>
      <c r="T23" s="17"/>
      <c r="U23" s="119"/>
      <c r="V23" s="119"/>
      <c r="W23" s="119"/>
      <c r="X23" s="119"/>
    </row>
    <row r="24" spans="1:24">
      <c r="A24" s="14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7"/>
      <c r="S24" s="17"/>
      <c r="T24" s="17"/>
      <c r="U24" s="119"/>
      <c r="V24" s="119"/>
      <c r="W24" s="119"/>
      <c r="X24" s="119"/>
    </row>
    <row r="25" spans="1:24">
      <c r="A25" s="14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7"/>
      <c r="S25" s="17"/>
      <c r="T25" s="17"/>
      <c r="U25" s="119"/>
      <c r="V25" s="119"/>
      <c r="W25" s="119"/>
      <c r="X25" s="119"/>
    </row>
    <row r="26" spans="1:24">
      <c r="A26" s="14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7"/>
      <c r="S26" s="17"/>
      <c r="T26" s="17"/>
      <c r="U26" s="119"/>
      <c r="V26" s="119"/>
      <c r="W26" s="119"/>
      <c r="X26" s="119"/>
    </row>
    <row r="27" spans="1:24">
      <c r="A27" s="14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17"/>
      <c r="S27" s="17"/>
      <c r="T27" s="17"/>
      <c r="U27" s="119"/>
      <c r="V27" s="119"/>
      <c r="W27" s="119"/>
      <c r="X27" s="119"/>
    </row>
    <row r="28" spans="1:24">
      <c r="A28" s="14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7"/>
      <c r="S28" s="17"/>
      <c r="T28" s="17"/>
      <c r="U28" s="119"/>
      <c r="V28" s="119"/>
      <c r="W28" s="119"/>
      <c r="X28" s="119"/>
    </row>
    <row r="29" spans="1:24">
      <c r="A29" s="14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7"/>
      <c r="S29" s="17"/>
      <c r="T29" s="17"/>
      <c r="U29" s="119"/>
      <c r="V29" s="119"/>
      <c r="W29" s="119"/>
      <c r="X29" s="119"/>
    </row>
    <row r="30" spans="1:24">
      <c r="A30" s="14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7"/>
      <c r="S30" s="17"/>
      <c r="T30" s="17"/>
      <c r="U30" s="119"/>
      <c r="V30" s="119"/>
      <c r="W30" s="119"/>
      <c r="X30" s="119"/>
    </row>
    <row r="31" spans="1:24">
      <c r="A31" s="14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17"/>
      <c r="S31" s="17"/>
      <c r="T31" s="17"/>
      <c r="U31" s="119"/>
      <c r="V31" s="119"/>
      <c r="W31" s="119"/>
      <c r="X31" s="119"/>
    </row>
    <row r="32" spans="1:24">
      <c r="A32" s="14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7"/>
      <c r="S32" s="17"/>
      <c r="T32" s="17"/>
      <c r="U32" s="119"/>
      <c r="V32" s="119"/>
      <c r="W32" s="119"/>
      <c r="X32" s="119"/>
    </row>
    <row r="33" spans="1:24">
      <c r="A33" s="14"/>
      <c r="B33" s="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7"/>
      <c r="S33" s="17"/>
      <c r="T33" s="17"/>
      <c r="U33" s="119"/>
      <c r="V33" s="119"/>
      <c r="W33" s="119"/>
      <c r="X33" s="119"/>
    </row>
    <row r="34" spans="1:24">
      <c r="A34" s="14"/>
      <c r="B34" s="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7"/>
      <c r="S34" s="17"/>
      <c r="T34" s="17"/>
      <c r="U34" s="119"/>
      <c r="V34" s="119"/>
      <c r="W34" s="119"/>
      <c r="X34" s="119"/>
    </row>
    <row r="35" spans="1:24">
      <c r="A35" s="14"/>
      <c r="B35" s="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7"/>
      <c r="S35" s="17"/>
      <c r="T35" s="17"/>
      <c r="U35" s="119"/>
      <c r="V35" s="119"/>
      <c r="W35" s="119"/>
      <c r="X35" s="119"/>
    </row>
    <row r="36" spans="1:24">
      <c r="A36" s="14"/>
      <c r="B36" s="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7"/>
      <c r="S36" s="17"/>
      <c r="T36" s="17"/>
      <c r="U36" s="119"/>
      <c r="V36" s="119"/>
      <c r="W36" s="119"/>
      <c r="X36" s="119"/>
    </row>
    <row r="37" spans="1:24">
      <c r="A37" s="14"/>
      <c r="B37" s="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7"/>
      <c r="S37" s="17"/>
      <c r="T37" s="17"/>
      <c r="U37" s="119"/>
      <c r="V37" s="119"/>
      <c r="W37" s="119"/>
      <c r="X37" s="119"/>
    </row>
    <row r="38" spans="1:24">
      <c r="A38" s="14"/>
      <c r="B38" s="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7"/>
      <c r="S38" s="17"/>
      <c r="T38" s="17"/>
      <c r="U38" s="119"/>
      <c r="V38" s="119"/>
      <c r="W38" s="119"/>
      <c r="X38" s="119"/>
    </row>
    <row r="39" spans="1:24">
      <c r="A39" s="14"/>
      <c r="B39" s="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7"/>
      <c r="S39" s="17"/>
      <c r="T39" s="17"/>
      <c r="U39" s="119"/>
      <c r="V39" s="119"/>
      <c r="W39" s="119"/>
      <c r="X39" s="119"/>
    </row>
    <row r="40" spans="1:24">
      <c r="A40" s="14"/>
      <c r="B40" s="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7"/>
      <c r="S40" s="17"/>
      <c r="T40" s="17"/>
      <c r="U40" s="119"/>
      <c r="V40" s="119"/>
      <c r="W40" s="119"/>
      <c r="X40" s="119"/>
    </row>
    <row r="41" spans="1:24">
      <c r="A41" s="14"/>
      <c r="B41" s="2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7"/>
      <c r="S41" s="17"/>
      <c r="T41" s="17"/>
      <c r="U41" s="119"/>
      <c r="V41" s="119"/>
      <c r="W41" s="119"/>
      <c r="X41" s="119"/>
    </row>
    <row r="42" spans="1:24">
      <c r="A42" s="14"/>
      <c r="B42" s="2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7"/>
      <c r="S42" s="17"/>
      <c r="T42" s="17"/>
      <c r="U42" s="119"/>
      <c r="V42" s="119"/>
      <c r="W42" s="119"/>
      <c r="X42" s="119"/>
    </row>
    <row r="43" spans="1:24">
      <c r="A43" s="14"/>
      <c r="B43" s="2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7"/>
      <c r="S43" s="17"/>
      <c r="T43" s="17"/>
      <c r="U43" s="119"/>
      <c r="V43" s="119"/>
      <c r="W43" s="119"/>
      <c r="X43" s="119"/>
    </row>
    <row r="44" spans="1:24">
      <c r="A44" s="14"/>
      <c r="B44" s="2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7"/>
      <c r="S44" s="17"/>
      <c r="T44" s="17"/>
      <c r="U44" s="119"/>
      <c r="V44" s="119"/>
      <c r="W44" s="119"/>
      <c r="X44" s="119"/>
    </row>
    <row r="45" spans="1:24">
      <c r="A45" s="14"/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7"/>
      <c r="S45" s="17"/>
      <c r="T45" s="17"/>
      <c r="U45" s="119"/>
      <c r="V45" s="119"/>
      <c r="W45" s="119"/>
      <c r="X45" s="119"/>
    </row>
    <row r="46" spans="1:24">
      <c r="A46" s="14"/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7"/>
      <c r="S46" s="17"/>
      <c r="T46" s="17"/>
      <c r="U46" s="119"/>
      <c r="V46" s="119"/>
      <c r="W46" s="119"/>
      <c r="X46" s="119"/>
    </row>
    <row r="47" spans="1:24">
      <c r="A47" s="14"/>
      <c r="B47" s="112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7"/>
      <c r="S47" s="17"/>
      <c r="T47" s="17"/>
      <c r="U47" s="119"/>
      <c r="V47" s="119"/>
      <c r="W47" s="119"/>
      <c r="X47" s="119"/>
    </row>
    <row r="48" spans="1:24">
      <c r="A48" s="14"/>
      <c r="B48" s="112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7"/>
      <c r="S48" s="17"/>
      <c r="T48" s="17"/>
      <c r="U48" s="119"/>
      <c r="V48" s="119"/>
      <c r="W48" s="119"/>
      <c r="X48" s="119"/>
    </row>
    <row r="49" spans="1:24">
      <c r="A49" s="14"/>
      <c r="B49" s="112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7"/>
      <c r="S49" s="17"/>
      <c r="T49" s="17"/>
      <c r="U49" s="119"/>
      <c r="V49" s="119"/>
      <c r="W49" s="119"/>
      <c r="X49" s="119"/>
    </row>
    <row r="50" spans="1:24">
      <c r="A50" s="14"/>
      <c r="B50" s="112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7"/>
      <c r="S50" s="17"/>
      <c r="T50" s="17"/>
      <c r="U50" s="119"/>
      <c r="V50" s="119"/>
      <c r="W50" s="119"/>
      <c r="X50" s="119"/>
    </row>
    <row r="51" spans="1:24">
      <c r="A51" s="14"/>
      <c r="B51" s="112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7"/>
      <c r="S51" s="17"/>
      <c r="T51" s="17"/>
      <c r="U51" s="119"/>
      <c r="V51" s="119"/>
      <c r="W51" s="119"/>
      <c r="X51" s="119"/>
    </row>
    <row r="52" spans="1:24">
      <c r="A52" s="14"/>
      <c r="B52" s="112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7"/>
      <c r="S52" s="17"/>
      <c r="T52" s="17"/>
      <c r="U52" s="119"/>
      <c r="V52" s="119"/>
      <c r="W52" s="119"/>
      <c r="X52" s="119"/>
    </row>
    <row r="53" spans="1:24">
      <c r="A53" s="14"/>
      <c r="B53" s="112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7"/>
      <c r="S53" s="17"/>
      <c r="T53" s="17"/>
      <c r="U53" s="119"/>
      <c r="V53" s="119"/>
      <c r="W53" s="119"/>
      <c r="X53" s="119"/>
    </row>
    <row r="54" spans="1:24">
      <c r="A54" s="14"/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7"/>
      <c r="S54" s="17"/>
      <c r="T54" s="17"/>
      <c r="U54" s="119"/>
      <c r="V54" s="119"/>
      <c r="W54" s="119"/>
      <c r="X54" s="119"/>
    </row>
    <row r="55" spans="1:24">
      <c r="A55" s="14"/>
      <c r="B55" s="112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7"/>
      <c r="S55" s="17"/>
      <c r="T55" s="17"/>
      <c r="U55" s="119"/>
      <c r="V55" s="119"/>
      <c r="W55" s="119"/>
      <c r="X55" s="119"/>
    </row>
    <row r="56" spans="1:24">
      <c r="A56" s="14"/>
      <c r="B56" s="112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7"/>
      <c r="S56" s="17"/>
      <c r="T56" s="17"/>
      <c r="U56" s="119"/>
      <c r="V56" s="119"/>
      <c r="W56" s="119"/>
      <c r="X56" s="119"/>
    </row>
    <row r="57" spans="1:24">
      <c r="A57" s="14"/>
      <c r="B57" s="112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7"/>
      <c r="S57" s="17"/>
      <c r="T57" s="17"/>
      <c r="U57" s="119"/>
      <c r="V57" s="119"/>
      <c r="W57" s="119"/>
      <c r="X57" s="119"/>
    </row>
    <row r="58" spans="1:24">
      <c r="A58" s="14"/>
      <c r="B58" s="112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7"/>
      <c r="S58" s="17"/>
      <c r="T58" s="17"/>
      <c r="U58" s="119"/>
      <c r="V58" s="119"/>
      <c r="W58" s="119"/>
      <c r="X58" s="119"/>
    </row>
    <row r="59" spans="1:24">
      <c r="A59" s="14"/>
      <c r="B59" s="112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7"/>
      <c r="S59" s="17"/>
      <c r="T59" s="17"/>
      <c r="U59" s="119"/>
      <c r="V59" s="119"/>
      <c r="W59" s="119"/>
      <c r="X59" s="119"/>
    </row>
    <row r="60" spans="1:24">
      <c r="A60" s="14"/>
      <c r="B60" s="112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7"/>
      <c r="S60" s="17"/>
      <c r="T60" s="17"/>
      <c r="U60" s="119"/>
      <c r="V60" s="119"/>
      <c r="W60" s="119"/>
      <c r="X60" s="119"/>
    </row>
    <row r="61" spans="1:24">
      <c r="A61" s="14"/>
      <c r="B61" s="112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7"/>
      <c r="S61" s="17"/>
      <c r="T61" s="17"/>
      <c r="U61" s="119"/>
      <c r="V61" s="119"/>
      <c r="W61" s="119"/>
      <c r="X61" s="119"/>
    </row>
    <row r="62" spans="1:24">
      <c r="A62" s="14"/>
      <c r="B62" s="112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7"/>
      <c r="S62" s="17"/>
      <c r="T62" s="17"/>
      <c r="U62" s="119"/>
      <c r="V62" s="119"/>
      <c r="W62" s="119"/>
      <c r="X62" s="119"/>
    </row>
    <row r="63" spans="1:24">
      <c r="A63" s="14"/>
      <c r="B63" s="112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7"/>
      <c r="S63" s="17"/>
      <c r="T63" s="17"/>
      <c r="U63" s="119"/>
      <c r="V63" s="119"/>
      <c r="W63" s="119"/>
      <c r="X63" s="119"/>
    </row>
    <row r="64" spans="1:24">
      <c r="A64" s="14"/>
      <c r="B64" s="112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7"/>
      <c r="S64" s="17"/>
      <c r="T64" s="17"/>
      <c r="U64" s="119"/>
      <c r="V64" s="119"/>
      <c r="W64" s="119"/>
      <c r="X64" s="119"/>
    </row>
    <row r="65" spans="1:24">
      <c r="A65" s="14"/>
      <c r="B65" s="112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7"/>
      <c r="S65" s="17"/>
      <c r="T65" s="17"/>
      <c r="U65" s="119"/>
      <c r="V65" s="119"/>
      <c r="W65" s="119"/>
      <c r="X65" s="119"/>
    </row>
    <row r="66" spans="1:24">
      <c r="A66" s="14"/>
      <c r="B66" s="114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8"/>
      <c r="S66" s="18"/>
      <c r="T66" s="18"/>
      <c r="U66" s="119"/>
      <c r="V66" s="119"/>
      <c r="W66" s="119"/>
      <c r="X66" s="119"/>
    </row>
    <row r="67" spans="1:2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19"/>
      <c r="V67" s="119"/>
      <c r="W67" s="119"/>
      <c r="X67" s="119"/>
    </row>
    <row r="68" spans="1:2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19"/>
      <c r="V68" s="119"/>
      <c r="W68" s="119"/>
      <c r="X68" s="119"/>
    </row>
    <row r="69" spans="1:2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19"/>
      <c r="V69" s="119"/>
      <c r="W69" s="119"/>
      <c r="X69" s="119"/>
    </row>
    <row r="70" spans="1:2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19"/>
      <c r="V70" s="119"/>
      <c r="W70" s="119"/>
      <c r="X70" s="119"/>
    </row>
    <row r="71" spans="1:2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19"/>
      <c r="V71" s="119"/>
      <c r="W71" s="119"/>
      <c r="X71" s="119"/>
    </row>
    <row r="72" spans="1:2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19"/>
      <c r="V72" s="119"/>
      <c r="W72" s="119"/>
      <c r="X72" s="119"/>
    </row>
    <row r="73" spans="1:2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19"/>
      <c r="V73" s="119"/>
      <c r="W73" s="119"/>
      <c r="X73" s="119"/>
    </row>
    <row r="74" spans="1:2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19"/>
      <c r="V74" s="119"/>
      <c r="W74" s="119"/>
      <c r="X74" s="119"/>
    </row>
    <row r="75" spans="1:2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19"/>
      <c r="V75" s="119"/>
      <c r="W75" s="119"/>
      <c r="X75" s="119"/>
    </row>
    <row r="76" spans="1:2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19"/>
      <c r="V76" s="119"/>
      <c r="W76" s="119"/>
      <c r="X76" s="119"/>
    </row>
    <row r="77" spans="1:2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19"/>
      <c r="V77" s="119"/>
      <c r="W77" s="119"/>
      <c r="X77" s="119"/>
    </row>
    <row r="78" spans="1:2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19"/>
      <c r="V78" s="119"/>
      <c r="W78" s="119"/>
      <c r="X78" s="119"/>
    </row>
    <row r="79" spans="1:2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19"/>
      <c r="V79" s="119"/>
      <c r="W79" s="119"/>
      <c r="X79" s="119"/>
    </row>
    <row r="80" spans="1:2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19"/>
      <c r="V80" s="119"/>
      <c r="W80" s="119"/>
      <c r="X80" s="119"/>
    </row>
    <row r="81" spans="1:2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19"/>
      <c r="V81" s="119"/>
      <c r="W81" s="119"/>
      <c r="X81" s="119"/>
    </row>
    <row r="82" spans="1:2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19"/>
      <c r="V82" s="119"/>
      <c r="W82" s="119"/>
      <c r="X82" s="119"/>
    </row>
    <row r="83" spans="1:2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19"/>
      <c r="V83" s="119"/>
      <c r="W83" s="119"/>
      <c r="X83" s="119"/>
    </row>
    <row r="84" spans="1:2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19"/>
      <c r="V84" s="119"/>
      <c r="W84" s="119"/>
      <c r="X84" s="119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3" name="Option Button 6">
              <controlPr defaultSize="0" autoFill="0" autoLine="0" autoPict="0">
                <anchor moveWithCells="1">
                  <from>
                    <xdr:col>5</xdr:col>
                    <xdr:colOff>361950</xdr:colOff>
                    <xdr:row>10</xdr:row>
                    <xdr:rowOff>57150</xdr:rowOff>
                  </from>
                  <to>
                    <xdr:col>6</xdr:col>
                    <xdr:colOff>19050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4" name="Option Button 7">
              <controlPr defaultSize="0" autoFill="0" autoLine="0" autoPict="0">
                <anchor moveWithCells="1">
                  <from>
                    <xdr:col>10</xdr:col>
                    <xdr:colOff>381000</xdr:colOff>
                    <xdr:row>10</xdr:row>
                    <xdr:rowOff>95250</xdr:rowOff>
                  </from>
                  <to>
                    <xdr:col>11</xdr:col>
                    <xdr:colOff>38100</xdr:colOff>
                    <xdr:row>11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Spinner 8">
              <controlPr defaultSize="0" autoPict="0">
                <anchor moveWithCells="1" sizeWithCells="1">
                  <from>
                    <xdr:col>17</xdr:col>
                    <xdr:colOff>371475</xdr:colOff>
                    <xdr:row>22</xdr:row>
                    <xdr:rowOff>104775</xdr:rowOff>
                  </from>
                  <to>
                    <xdr:col>18</xdr:col>
                    <xdr:colOff>57150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Option Button 9">
              <controlPr defaultSize="0" autoFill="0" autoLine="0" autoPict="0">
                <anchor moveWithCells="1">
                  <from>
                    <xdr:col>15</xdr:col>
                    <xdr:colOff>581025</xdr:colOff>
                    <xdr:row>10</xdr:row>
                    <xdr:rowOff>57150</xdr:rowOff>
                  </from>
                  <to>
                    <xdr:col>16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Formulas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Khalil</dc:creator>
  <cp:lastModifiedBy>DELL</cp:lastModifiedBy>
  <dcterms:created xsi:type="dcterms:W3CDTF">2023-04-30T11:59:58Z</dcterms:created>
  <dcterms:modified xsi:type="dcterms:W3CDTF">2023-08-20T00:38:54Z</dcterms:modified>
</cp:coreProperties>
</file>