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data analysis\excell\first\"/>
    </mc:Choice>
  </mc:AlternateContent>
  <xr:revisionPtr revIDLastSave="0" documentId="13_ncr:1_{A91E7790-FE1F-4BB6-9F7C-BBF751EA4232}" xr6:coauthVersionLast="47" xr6:coauthVersionMax="47" xr10:uidLastSave="{00000000-0000-0000-0000-000000000000}"/>
  <bookViews>
    <workbookView xWindow="-120" yWindow="-120" windowWidth="29040" windowHeight="15840" activeTab="1" xr2:uid="{18AE7B27-7C85-405D-B3F2-EBF24D6A3441}"/>
  </bookViews>
  <sheets>
    <sheet name="Analysis" sheetId="1" r:id="rId1"/>
    <sheet name="Dashboard" sheetId="2" r:id="rId2"/>
  </sheets>
  <definedNames>
    <definedName name="Slicer_Country">#N/A</definedName>
    <definedName name="Slicer_Month_Name">#N/A</definedName>
    <definedName name="Slicer_Year">#N/A</definedName>
  </definedNames>
  <calcPr calcId="191029"/>
  <pivotCaches>
    <pivotCache cacheId="1441" r:id="rId3"/>
    <pivotCache cacheId="1465" r:id="rId4"/>
    <pivotCache cacheId="1489" r:id="rId5"/>
    <pivotCache cacheId="1492" r:id="rId6"/>
    <pivotCache cacheId="1495" r:id="rId7"/>
    <pivotCache cacheId="1498" r:id="rId8"/>
    <pivotCache cacheId="1501" r:id="rId9"/>
    <pivotCache cacheId="1504" r:id="rId10"/>
  </pivotCaches>
  <extLst>
    <ext xmlns:x14="http://schemas.microsoft.com/office/spreadsheetml/2009/9/main" uri="{876F7934-8845-4945-9796-88D515C7AA90}">
      <x14:pivotCaches>
        <pivotCache cacheId="1179" r:id="rId11"/>
        <pivotCache cacheId="1270"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7c9f29c-86f4-41a7-be83-956b439ccf0b" name="FactInternetSales" connection="Query - FactInternetSales"/>
          <x15:modelTable id="DimCustomer_166402f2-5138-4100-b505-50d2fbd7b2e2" name="DimCustomer" connection="Query - DimCustomer"/>
          <x15:modelTable id="DimDate_bcbf4bbc-5f67-4e00-80a2-08aa8f2fe21d" name="DimDate" connection="Query - DimDate"/>
          <x15:modelTable id="DimGeography_690e2c07-8131-4001-8855-5523865dbbb1" name="DimGeography" connection="Query - DimGeography"/>
          <x15:modelTable id="DimProduct_9236a9a3-4980-454c-b9ff-70faff3ea05a" name="DimProduct" connection="Query - DimProduct"/>
          <x15:modelTable id="DimSalesTerritory_23e2eb10-9698-44b2-a481-866e15f3e07c" name="DimSalesTerritory" connection="Query - DimSalesTerritory"/>
          <x15:modelTable id="A_c514b284-785d-46ab-b517-b26995b8d742" name="A" connection="Query - measures"/>
        </x15:modelTables>
        <x15:modelRelationships>
          <x15:modelRelationship fromTable="FactInternetSales" fromColumn="ProductKey" toTable="DimProduct" toColumn="ProductKey"/>
          <x15:modelRelationship fromTable="FactInternetSales" fromColumn="CustomerKey" toTable="DimCustomer" toColumn="CustomerKey"/>
          <x15:modelRelationship fromTable="FactInternetSales" fromColumn="SalesTerritoryKey" toTable="DimSalesTerritory" toColumn="SalesTerritory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2" i="1" l="1"/>
  <c r="S63" i="1"/>
  <c r="S64" i="1"/>
  <c r="S65" i="1"/>
  <c r="S61" i="1"/>
  <c r="Q65" i="1"/>
  <c r="Q63" i="1"/>
  <c r="Q64" i="1"/>
  <c r="Q62" i="1"/>
  <c r="P45" i="1"/>
  <c r="P46" i="1"/>
  <c r="O50" i="1" l="1"/>
  <c r="O51" i="1" s="1"/>
  <c r="R20" i="1"/>
  <c r="R21" i="1"/>
  <c r="R22" i="1"/>
  <c r="R23" i="1"/>
  <c r="R24" i="1"/>
  <c r="R25" i="1"/>
  <c r="R19" i="1"/>
  <c r="R18" i="1"/>
  <c r="Q19" i="1"/>
  <c r="Q20" i="1"/>
  <c r="Q21" i="1"/>
  <c r="Q22" i="1"/>
  <c r="Q23" i="1"/>
  <c r="Q24" i="1"/>
  <c r="Q25" i="1"/>
  <c r="Q18" i="1"/>
  <c r="G48" i="1"/>
  <c r="F41" i="1"/>
  <c r="G41" i="1" s="1"/>
  <c r="F42" i="1"/>
  <c r="G42" i="1" s="1"/>
  <c r="F40" i="1"/>
  <c r="Z6" i="1"/>
  <c r="Z14" i="1" s="1"/>
  <c r="AA14" i="1" s="1"/>
  <c r="D24" i="1" a="1"/>
  <c r="D24" i="1" s="1"/>
  <c r="F33" i="1" s="1"/>
  <c r="D25" i="1" a="1"/>
  <c r="D25" i="1" s="1"/>
  <c r="D26" i="1" a="1"/>
  <c r="D26" i="1" s="1"/>
  <c r="D27" i="1" a="1"/>
  <c r="D27" i="1" s="1"/>
  <c r="D28" i="1" a="1"/>
  <c r="D28" i="1" s="1"/>
  <c r="C25" i="1"/>
  <c r="C26" i="1"/>
  <c r="C27" i="1"/>
  <c r="C28" i="1"/>
  <c r="C24" i="1"/>
  <c r="E19" i="2"/>
  <c r="D19" i="2"/>
  <c r="F18" i="2"/>
  <c r="B19" i="2"/>
  <c r="A19" i="2"/>
  <c r="A18" i="2"/>
  <c r="R34" i="1" l="1"/>
  <c r="R35" i="1"/>
  <c r="G45" i="1"/>
  <c r="R33" i="1"/>
  <c r="G40" i="1"/>
  <c r="Z54" i="1"/>
  <c r="AA54" i="1" s="1"/>
  <c r="Z53" i="1"/>
  <c r="Z45" i="1"/>
  <c r="AA45" i="1" s="1"/>
  <c r="Z46" i="1"/>
  <c r="AA46" i="1" s="1"/>
  <c r="Z37" i="1"/>
  <c r="AA37" i="1" s="1"/>
  <c r="Z38" i="1"/>
  <c r="AA38" i="1" s="1"/>
  <c r="Z22" i="1"/>
  <c r="AA22" i="1" s="1"/>
  <c r="Z13" i="1"/>
  <c r="AA13" i="1" s="1"/>
  <c r="AB13" i="1" s="1"/>
  <c r="Z29" i="1"/>
  <c r="AA29" i="1" s="1"/>
  <c r="Z30" i="1"/>
  <c r="AA30" i="1" s="1"/>
  <c r="Z21" i="1"/>
  <c r="AA21" i="1" s="1"/>
  <c r="F35" i="1"/>
  <c r="E26" i="1"/>
  <c r="F26" i="1" s="1"/>
  <c r="E27" i="1"/>
  <c r="F27" i="1" s="1"/>
  <c r="E25" i="1"/>
  <c r="F25" i="1" s="1"/>
  <c r="E28" i="1"/>
  <c r="F28" i="1" s="1"/>
  <c r="R37" i="1" l="1"/>
  <c r="S22" i="1" a="1"/>
  <c r="S22" i="1" s="1"/>
  <c r="S21" i="1" a="1"/>
  <c r="S21" i="1" s="1"/>
  <c r="S20" i="1" a="1"/>
  <c r="S20" i="1" s="1"/>
  <c r="S24" i="1" a="1"/>
  <c r="S24" i="1" s="1"/>
  <c r="S25" i="1" a="1"/>
  <c r="S25" i="1" s="1"/>
  <c r="S23" i="1" a="1"/>
  <c r="S23" i="1" s="1"/>
  <c r="S19" i="1" a="1"/>
  <c r="S19" i="1" s="1"/>
  <c r="AA53" i="1"/>
  <c r="AB54" i="1" s="1"/>
  <c r="AB46" i="1"/>
  <c r="AB45" i="1"/>
  <c r="AB38" i="1"/>
  <c r="AB22" i="1"/>
  <c r="AB37" i="1"/>
  <c r="AB21" i="1"/>
  <c r="AB30" i="1"/>
  <c r="AB29" i="1"/>
  <c r="AB14" i="1"/>
  <c r="AB16" i="1" s="1"/>
  <c r="C33" i="1"/>
  <c r="C34" i="1" s="1"/>
  <c r="K19" i="2" s="1"/>
  <c r="AB53" i="1" l="1"/>
  <c r="AB56" i="1" s="1"/>
  <c r="AB48" i="1"/>
  <c r="AB40" i="1"/>
  <c r="AB24" i="1"/>
  <c r="AB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C2B3FE-0A23-4450-AC44-1B30FD8D5F42}" name="Query - DimCustomer" description="Connection to the 'DimCustomer' query in the workbook." type="100" refreshedVersion="8" minRefreshableVersion="5">
    <extLst>
      <ext xmlns:x15="http://schemas.microsoft.com/office/spreadsheetml/2010/11/main" uri="{DE250136-89BD-433C-8126-D09CA5730AF9}">
        <x15:connection id="fb0a81a5-8bb9-4a30-8a19-58cde6ac266d">
          <x15:oledbPr connection="Provider=Microsoft.Mashup.OleDb.1;Data Source=$Workbook$;Location=DimCustomer;Extended Properties=&quot;&quot;">
            <x15:dbTables>
              <x15:dbTable name="DimCustomer"/>
            </x15:dbTables>
          </x15:oledbPr>
        </x15:connection>
      </ext>
    </extLst>
  </connection>
  <connection id="2" xr16:uid="{162DCE9B-EF04-4E31-91E8-1C3936B06B48}" name="Query - DimDate" description="Connection to the 'DimDate' query in the workbook." type="100" refreshedVersion="8" minRefreshableVersion="5" background="1" saveData="1">
    <extLst>
      <ext xmlns:x15="http://schemas.microsoft.com/office/spreadsheetml/2010/11/main" uri="{DE250136-89BD-433C-8126-D09CA5730AF9}">
        <x15:connection id="613b2371-0ff5-4399-b143-f2e7f4b9784e"/>
      </ext>
    </extLst>
  </connection>
  <connection id="3" xr16:uid="{C1FDF2C3-633F-4060-881E-016073E9E56C}" name="Query - DimGeography" description="Connection to the 'DimGeography' query in the workbook." type="100" refreshedVersion="8" minRefreshableVersion="5">
    <extLst>
      <ext xmlns:x15="http://schemas.microsoft.com/office/spreadsheetml/2010/11/main" uri="{DE250136-89BD-433C-8126-D09CA5730AF9}">
        <x15:connection id="a882c0c5-6ac2-4bab-be43-74410945dab2">
          <x15:oledbPr connection="Provider=Microsoft.Mashup.OleDb.1;Data Source=$Workbook$;Location=DimGeography;Extended Properties=&quot;&quot;">
            <x15:dbTables>
              <x15:dbTable name="DimGeography"/>
            </x15:dbTables>
          </x15:oledbPr>
        </x15:connection>
      </ext>
    </extLst>
  </connection>
  <connection id="4" xr16:uid="{0248CBAB-D1FA-457E-8246-2BB4ECFB336D}" name="Query - DimProduct" description="Connection to the 'DimProduct' query in the workbook." type="100" refreshedVersion="8" minRefreshableVersion="5">
    <extLst>
      <ext xmlns:x15="http://schemas.microsoft.com/office/spreadsheetml/2010/11/main" uri="{DE250136-89BD-433C-8126-D09CA5730AF9}">
        <x15:connection id="a225006f-b1ce-4ed0-a0ef-2e81a48f7857">
          <x15:oledbPr connection="Provider=Microsoft.Mashup.OleDb.1;Data Source=$Workbook$;Location=DimProduct;Extended Properties=&quot;&quot;">
            <x15:dbTables>
              <x15:dbTable name="DimProduct"/>
            </x15:dbTables>
          </x15:oledbPr>
        </x15:connection>
      </ext>
    </extLst>
  </connection>
  <connection id="5" xr16:uid="{1F85F04F-F8CD-4227-8246-2925D2567173}" name="Query - DimSalesTerritory" description="Connection to the 'DimSalesTerritory' query in the workbook." type="100" refreshedVersion="8" minRefreshableVersion="5">
    <extLst>
      <ext xmlns:x15="http://schemas.microsoft.com/office/spreadsheetml/2010/11/main" uri="{DE250136-89BD-433C-8126-D09CA5730AF9}">
        <x15:connection id="a957eca9-45e0-4b63-99dd-a1624bd819fa">
          <x15:oledbPr connection="Provider=Microsoft.Mashup.OleDb.1;Data Source=$Workbook$;Location=DimSalesTerritory;Extended Properties=&quot;&quot;">
            <x15:dbTables>
              <x15:dbTable name="DimSalesTerritory"/>
            </x15:dbTables>
          </x15:oledbPr>
        </x15:connection>
      </ext>
    </extLst>
  </connection>
  <connection id="6" xr16:uid="{A0829745-F2D2-4812-AB94-B0DF4C29BC49}" name="Query - FactInternetSales" description="Connection to the 'FactInternetSales' query in the workbook." type="100" refreshedVersion="8" minRefreshableVersion="5">
    <extLst>
      <ext xmlns:x15="http://schemas.microsoft.com/office/spreadsheetml/2010/11/main" uri="{DE250136-89BD-433C-8126-D09CA5730AF9}">
        <x15:connection id="99aef8ab-955d-4cb1-b24b-fd3b2863e0c7">
          <x15:oledbPr connection="Provider=Microsoft.Mashup.OleDb.1;Data Source=$Workbook$;Location=FactInternetSales;Extended Properties=&quot;&quot;">
            <x15:dbTables>
              <x15:dbTable name="FactInternetSales"/>
            </x15:dbTables>
          </x15:oledbPr>
        </x15:connection>
      </ext>
    </extLst>
  </connection>
  <connection id="7" xr16:uid="{C8A783EA-239A-44FE-AB19-2E603898BD96}" name="Query - measures" description="Connection to the 'measures' query in the workbook." type="100" refreshedVersion="8" minRefreshableVersion="5">
    <extLst>
      <ext xmlns:x15="http://schemas.microsoft.com/office/spreadsheetml/2010/11/main" uri="{DE250136-89BD-433C-8126-D09CA5730AF9}">
        <x15:connection id="8748cbc5-bf0a-4856-8769-e6c5989fe0dc">
          <x15:oledbPr connection="Provider=Microsoft.Mashup.OleDb.1;Data Source=$Workbook$;Location=measures;Extended Properties=&quot;&quot;">
            <x15:dbTables>
              <x15:dbTable name="measures"/>
            </x15:dbTables>
          </x15:oledbPr>
        </x15:connection>
      </ext>
    </extLst>
  </connection>
  <connection id="8" xr16:uid="{7F1A1382-E7A1-4645-9252-C036D741C952}"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<sst xmlns="http://schemas.openxmlformats.org/spreadsheetml/2006/main" count="118" uniqueCount="69">
  <si>
    <t>%mergin_profit</t>
  </si>
  <si>
    <t>all products</t>
  </si>
  <si>
    <t>soldproducts</t>
  </si>
  <si>
    <t>Unsold</t>
  </si>
  <si>
    <t xml:space="preserve"> Profit</t>
  </si>
  <si>
    <t xml:space="preserve"> COGS</t>
  </si>
  <si>
    <t xml:space="preserve"> OrderQuantity</t>
  </si>
  <si>
    <t>"" Profit</t>
  </si>
  <si>
    <t>"" Total  Revenue</t>
  </si>
  <si>
    <t>"" COGS</t>
  </si>
  <si>
    <t>Row Labels</t>
  </si>
  <si>
    <t>Year</t>
  </si>
  <si>
    <t>avg</t>
  </si>
  <si>
    <t>over avg</t>
  </si>
  <si>
    <t xml:space="preserve"> </t>
  </si>
  <si>
    <t>above avg</t>
  </si>
  <si>
    <t>percentage</t>
  </si>
  <si>
    <t>caption</t>
  </si>
  <si>
    <t xml:space="preserve">   Revenue</t>
  </si>
  <si>
    <t>transctions</t>
  </si>
  <si>
    <t>Total profit</t>
  </si>
  <si>
    <t>selected Yr</t>
  </si>
  <si>
    <t>prev Yr</t>
  </si>
  <si>
    <t>Profit</t>
  </si>
  <si>
    <t>Percentage</t>
  </si>
  <si>
    <t xml:space="preserve">YOY Change </t>
  </si>
  <si>
    <t>Revenue</t>
  </si>
  <si>
    <t>Total Revenue</t>
  </si>
  <si>
    <t>Total GOCS</t>
  </si>
  <si>
    <t>GOCS</t>
  </si>
  <si>
    <t>Total Qty</t>
  </si>
  <si>
    <t>Qty</t>
  </si>
  <si>
    <t>Total Mergin</t>
  </si>
  <si>
    <t>proft Mergin</t>
  </si>
  <si>
    <t>Transactions</t>
  </si>
  <si>
    <t>Tranactions</t>
  </si>
  <si>
    <t>Apr</t>
  </si>
  <si>
    <t>Aug</t>
  </si>
  <si>
    <t>Dec</t>
  </si>
  <si>
    <t>Feb</t>
  </si>
  <si>
    <t>Jan</t>
  </si>
  <si>
    <t>Jul</t>
  </si>
  <si>
    <t>Jun</t>
  </si>
  <si>
    <t>Mar</t>
  </si>
  <si>
    <t>May</t>
  </si>
  <si>
    <t>Nov</t>
  </si>
  <si>
    <t>Oct</t>
  </si>
  <si>
    <t>Sep</t>
  </si>
  <si>
    <t>top 3 values</t>
  </si>
  <si>
    <t>profit</t>
  </si>
  <si>
    <t>month</t>
  </si>
  <si>
    <t>year</t>
  </si>
  <si>
    <t>Fri</t>
  </si>
  <si>
    <t>Mon</t>
  </si>
  <si>
    <t>Sat</t>
  </si>
  <si>
    <t>Sun</t>
  </si>
  <si>
    <t>Thu</t>
  </si>
  <si>
    <t>Tue</t>
  </si>
  <si>
    <t>Wed</t>
  </si>
  <si>
    <t>top 3</t>
  </si>
  <si>
    <t>top 3 v</t>
  </si>
  <si>
    <t>Weekday</t>
  </si>
  <si>
    <t>Weekend</t>
  </si>
  <si>
    <t>top</t>
  </si>
  <si>
    <t>kind</t>
  </si>
  <si>
    <t>Qtr-3</t>
  </si>
  <si>
    <t>Qtr-4</t>
  </si>
  <si>
    <t>Qtr-1</t>
  </si>
  <si>
    <t>Qtr-2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</si>
</sst>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lt;999999]0.00,&quot;k&quot;;[&lt;999999999]0.00,&quot;M&quot;;0.00,&quot;B&quot;"/>
    <numFmt numFmtId="165" formatCode="[&lt;999999]\$0.00,&quot;k&quot;;[&lt;999999999]\$0.00,,&quot;M&quot;;0.00,&quot;B&quot;"/>
    <numFmt numFmtId="166" formatCode="[&lt;999999]0.00,&quot;k&quot;;[&lt;999999999]0.00,,&quot;M&quot;;0.00,&quot;B&quot;"/>
    <numFmt numFmtId="167" formatCode="0.0%"/>
    <numFmt numFmtId="168" formatCode="\+0.00%;\-0.00%;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sz val="8"/>
      <name val="Segoe UI"/>
      <family val="2"/>
    </font>
    <font>
      <sz val="8"/>
      <name val="Aptos Narrow"/>
      <family val="2"/>
      <scheme val="minor"/>
    </font>
  </fonts>
  <fills count="10">
    <fill>
      <patternFill patternType="none"/>
    </fill>
    <fill>
      <patternFill patternType="gray125"/>
    </fill>
    <fill>
      <patternFill patternType="solid">
        <fgColor theme="4" tint="0.79998168889431442"/>
        <bgColor theme="4" tint="0.79998168889431442"/>
      </patternFill>
    </fill>
    <fill>
      <patternFill patternType="solid">
        <fgColor theme="1" tint="4.9989318521683403E-2"/>
        <bgColor indexed="64"/>
      </patternFill>
    </fill>
    <fill>
      <patternFill patternType="solid">
        <fgColor theme="1" tint="0.249977111117893"/>
        <bgColor indexed="64"/>
      </patternFill>
    </fill>
    <fill>
      <patternFill patternType="solid">
        <fgColor theme="6" tint="0.39997558519241921"/>
        <bgColor indexed="64"/>
      </patternFill>
    </fill>
    <fill>
      <patternFill patternType="solid">
        <fgColor theme="1"/>
        <bgColor indexed="64"/>
      </patternFill>
    </fill>
    <fill>
      <patternFill patternType="solid">
        <fgColor theme="8" tint="-0.249977111117893"/>
        <bgColor indexed="64"/>
      </patternFill>
    </fill>
    <fill>
      <patternFill patternType="solid">
        <fgColor theme="2" tint="-9.9978637043366805E-2"/>
        <bgColor indexed="64"/>
      </patternFill>
    </fill>
    <fill>
      <patternFill patternType="solid">
        <fgColor rgb="FFC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10" fontId="0" fillId="0" borderId="0" xfId="0" applyNumberFormat="1"/>
    <xf numFmtId="164" fontId="0" fillId="0" borderId="0" xfId="0" applyNumberFormat="1"/>
    <xf numFmtId="165" fontId="0" fillId="0" borderId="0" xfId="0" applyNumberFormat="1"/>
    <xf numFmtId="10" fontId="0" fillId="0" borderId="0" xfId="1" applyNumberFormat="1" applyFont="1"/>
    <xf numFmtId="0" fontId="0" fillId="0" borderId="0" xfId="0" applyAlignment="1">
      <alignment horizontal="left"/>
    </xf>
    <xf numFmtId="0" fontId="0" fillId="0" borderId="0" xfId="0" pivotButton="1"/>
    <xf numFmtId="0" fontId="0" fillId="0" borderId="0" xfId="0" applyNumberFormat="1"/>
    <xf numFmtId="3" fontId="0" fillId="0" borderId="0" xfId="0" applyNumberFormat="1"/>
    <xf numFmtId="0" fontId="0" fillId="0" borderId="1" xfId="0" pivotButton="1" applyBorder="1"/>
    <xf numFmtId="0" fontId="0" fillId="0" borderId="1" xfId="0" applyBorder="1"/>
    <xf numFmtId="165" fontId="0" fillId="0" borderId="1" xfId="0" applyNumberFormat="1" applyBorder="1"/>
    <xf numFmtId="164" fontId="0" fillId="0" borderId="1" xfId="0" applyNumberFormat="1" applyBorder="1"/>
    <xf numFmtId="0" fontId="2" fillId="2" borderId="0" xfId="0" applyFont="1" applyFill="1" applyBorder="1"/>
    <xf numFmtId="3" fontId="0" fillId="0" borderId="1" xfId="0" applyNumberFormat="1" applyBorder="1"/>
    <xf numFmtId="166" fontId="0" fillId="0" borderId="1" xfId="0" applyNumberFormat="1" applyBorder="1"/>
    <xf numFmtId="0" fontId="0" fillId="3" borderId="0" xfId="0" applyFill="1"/>
    <xf numFmtId="166" fontId="0" fillId="0" borderId="0" xfId="0" applyNumberFormat="1"/>
    <xf numFmtId="9" fontId="0" fillId="0" borderId="0" xfId="0" applyNumberFormat="1"/>
    <xf numFmtId="167" fontId="0" fillId="0" borderId="1" xfId="0" applyNumberFormat="1" applyBorder="1"/>
    <xf numFmtId="0" fontId="3" fillId="4" borderId="1" xfId="0" applyFont="1" applyFill="1" applyBorder="1"/>
    <xf numFmtId="0" fontId="3" fillId="3" borderId="0" xfId="0" applyFont="1" applyFill="1"/>
    <xf numFmtId="10" fontId="0" fillId="0" borderId="1" xfId="0" applyNumberFormat="1" applyBorder="1"/>
    <xf numFmtId="10" fontId="3" fillId="3" borderId="0" xfId="0" applyNumberFormat="1" applyFont="1" applyFill="1"/>
    <xf numFmtId="168" fontId="3" fillId="3" borderId="0" xfId="0" applyNumberFormat="1" applyFont="1" applyFill="1"/>
    <xf numFmtId="0" fontId="0" fillId="5" borderId="0" xfId="0" applyFill="1"/>
    <xf numFmtId="0" fontId="3" fillId="6" borderId="0" xfId="0" applyFont="1" applyFill="1"/>
    <xf numFmtId="10" fontId="3" fillId="6" borderId="0" xfId="0" applyNumberFormat="1" applyFont="1" applyFill="1"/>
    <xf numFmtId="0" fontId="0" fillId="7" borderId="0" xfId="0" applyFill="1"/>
    <xf numFmtId="10" fontId="0" fillId="8" borderId="0" xfId="0" applyNumberFormat="1" applyFont="1" applyFill="1"/>
    <xf numFmtId="0" fontId="0" fillId="8" borderId="0" xfId="0" applyFill="1"/>
    <xf numFmtId="0" fontId="0" fillId="9" borderId="0" xfId="0" applyFill="1"/>
  </cellXfs>
  <cellStyles count="2">
    <cellStyle name="Normal" xfId="0" builtinId="0"/>
    <cellStyle name="Percent" xfId="1" builtinId="5"/>
  </cellStyles>
  <dxfs count="338">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5"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4" formatCode="0.00%"/>
    </dxf>
    <dxf>
      <numFmt numFmtId="164" formatCode="[&lt;999999]0.00,&quot;k&quot;;[&lt;999999999]0.00,&quot;M&quot;;0.00,&quot;B&quot;"/>
    </dxf>
    <dxf>
      <numFmt numFmtId="164" formatCode="[&lt;999999]0.00,&quot;k&quot;;[&lt;999999999]0.00,&quot;M&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3ADAF1A8-F683-4A64-BE99-F4BC49F5E882}">
      <tableStyleElement type="wholeTable" dxfId="337"/>
      <tableStyleElement type="headerRow" dxfId="336"/>
    </tableStyle>
  </tableStyles>
  <colors>
    <mruColors>
      <color rgb="FF59C7E9"/>
      <color rgb="FFF75606"/>
      <color rgb="FFE2EA45"/>
      <color rgb="FFB4C6E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59C7E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6.xml"/><Relationship Id="rId11" Type="http://schemas.openxmlformats.org/officeDocument/2006/relationships/pivotCacheDefinition" Target="pivotCache/pivotCacheDefinition9.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8" Type="http://schemas.openxmlformats.org/officeDocument/2006/relationships/customXml" Target="../customXml/item35.xml"/><Relationship Id="rId5" Type="http://schemas.openxmlformats.org/officeDocument/2006/relationships/pivotCacheDefinition" Target="pivotCache/pivotCacheDefinition3.xml"/><Relationship Id="rId61" Type="http://schemas.openxmlformats.org/officeDocument/2006/relationships/customXml" Target="../customXml/item38.xml"/><Relationship Id="rId19" Type="http://schemas.openxmlformats.org/officeDocument/2006/relationships/sharedStrings" Target="sharedStrings.xml"/><Relationship Id="rId14" Type="http://schemas.microsoft.com/office/2007/relationships/slicerCache" Target="slicerCaches/slicerCache2.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pivotCacheDefinition" Target="pivotCache/pivotCacheDefinition6.xml"/><Relationship Id="rId51" Type="http://schemas.openxmlformats.org/officeDocument/2006/relationships/customXml" Target="../customXml/item28.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connections" Target="connections.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59" Type="http://schemas.openxmlformats.org/officeDocument/2006/relationships/customXml" Target="../customXml/item36.xml"/><Relationship Id="rId20" Type="http://schemas.openxmlformats.org/officeDocument/2006/relationships/sheetMetadata" Target="metadata.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microsoft.com/office/2007/relationships/slicerCache" Target="slicerCaches/slicerCache3.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8.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60" Type="http://schemas.openxmlformats.org/officeDocument/2006/relationships/customXml" Target="../customXml/item37.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245614035087717E-2"/>
          <c:y val="0.38345259516183489"/>
          <c:w val="0.90839166894462775"/>
          <c:h val="0.37759930301693023"/>
        </c:manualLayout>
      </c:layout>
      <c:barChart>
        <c:barDir val="col"/>
        <c:grouping val="clustered"/>
        <c:varyColors val="0"/>
        <c:ser>
          <c:idx val="1"/>
          <c:order val="1"/>
          <c:tx>
            <c:strRef>
              <c:f>Analysis!$D$24</c:f>
              <c:strCache>
                <c:ptCount val="1"/>
                <c:pt idx="0">
                  <c:v>transctions</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Analysis!$C$25:$C$28</c:f>
              <c:numCache>
                <c:formatCode>General</c:formatCode>
                <c:ptCount val="4"/>
                <c:pt idx="0">
                  <c:v>2005</c:v>
                </c:pt>
                <c:pt idx="1">
                  <c:v>2006</c:v>
                </c:pt>
                <c:pt idx="2">
                  <c:v>2007</c:v>
                </c:pt>
                <c:pt idx="3">
                  <c:v>2008</c:v>
                </c:pt>
              </c:numCache>
            </c:numRef>
          </c:cat>
          <c:val>
            <c:numRef>
              <c:f>Analysis!$D$25:$D$28</c:f>
              <c:numCache>
                <c:formatCode>[&lt;999999]0.00,"k";[&lt;999999999]0.00,,"M";0.00,"B"</c:formatCode>
                <c:ptCount val="4"/>
                <c:pt idx="0">
                  <c:v>59</c:v>
                </c:pt>
                <c:pt idx="1">
                  <c:v>233</c:v>
                </c:pt>
                <c:pt idx="2">
                  <c:v>2291</c:v>
                </c:pt>
                <c:pt idx="3">
                  <c:v>2975</c:v>
                </c:pt>
              </c:numCache>
            </c:numRef>
          </c:val>
          <c:extLst>
            <c:ext xmlns:c16="http://schemas.microsoft.com/office/drawing/2014/chart" uri="{C3380CC4-5D6E-409C-BE32-E72D297353CC}">
              <c16:uniqueId val="{00000001-C795-4526-82C4-785BD0A5EC66}"/>
            </c:ext>
          </c:extLst>
        </c:ser>
        <c:ser>
          <c:idx val="3"/>
          <c:order val="3"/>
          <c:tx>
            <c:strRef>
              <c:f>Analysis!$F$24</c:f>
              <c:strCache>
                <c:ptCount val="1"/>
                <c:pt idx="0">
                  <c:v>over avg</c:v>
                </c:pt>
              </c:strCache>
            </c:strRef>
          </c:tx>
          <c:spPr>
            <a:solidFill>
              <a:srgbClr val="59C7E9"/>
            </a:solidFill>
            <a:ln>
              <a:noFill/>
            </a:ln>
            <a:effectLst/>
          </c:spPr>
          <c:invertIfNegative val="0"/>
          <c:val>
            <c:numRef>
              <c:f>Analysis!$F$25:$F$28</c:f>
              <c:numCache>
                <c:formatCode>General</c:formatCode>
                <c:ptCount val="4"/>
                <c:pt idx="0">
                  <c:v>0</c:v>
                </c:pt>
                <c:pt idx="1">
                  <c:v>0</c:v>
                </c:pt>
                <c:pt idx="2">
                  <c:v>2291</c:v>
                </c:pt>
                <c:pt idx="3">
                  <c:v>2975</c:v>
                </c:pt>
              </c:numCache>
            </c:numRef>
          </c:val>
          <c:extLst>
            <c:ext xmlns:c16="http://schemas.microsoft.com/office/drawing/2014/chart" uri="{C3380CC4-5D6E-409C-BE32-E72D297353CC}">
              <c16:uniqueId val="{00000004-C795-4526-82C4-785BD0A5EC66}"/>
            </c:ext>
          </c:extLst>
        </c:ser>
        <c:dLbls>
          <c:showLegendKey val="0"/>
          <c:showVal val="0"/>
          <c:showCatName val="0"/>
          <c:showSerName val="0"/>
          <c:showPercent val="0"/>
          <c:showBubbleSize val="0"/>
        </c:dLbls>
        <c:gapWidth val="219"/>
        <c:overlap val="100"/>
        <c:axId val="1094117360"/>
        <c:axId val="1094103920"/>
        <c:extLst>
          <c:ext xmlns:c15="http://schemas.microsoft.com/office/drawing/2012/chart" uri="{02D57815-91ED-43cb-92C2-25804820EDAC}">
            <c15:filteredBarSeries>
              <c15:ser>
                <c:idx val="0"/>
                <c:order val="0"/>
                <c:tx>
                  <c:strRef>
                    <c:extLst>
                      <c:ext uri="{02D57815-91ED-43cb-92C2-25804820EDAC}">
                        <c15:formulaRef>
                          <c15:sqref>Analysis!$C$24</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Analysis!$C$25:$C$28</c15:sqref>
                        </c15:formulaRef>
                      </c:ext>
                    </c:extLst>
                    <c:numCache>
                      <c:formatCode>General</c:formatCode>
                      <c:ptCount val="4"/>
                      <c:pt idx="0">
                        <c:v>2005</c:v>
                      </c:pt>
                      <c:pt idx="1">
                        <c:v>2006</c:v>
                      </c:pt>
                      <c:pt idx="2">
                        <c:v>2007</c:v>
                      </c:pt>
                      <c:pt idx="3">
                        <c:v>2008</c:v>
                      </c:pt>
                    </c:numCache>
                  </c:numRef>
                </c:cat>
                <c:val>
                  <c:numRef>
                    <c:extLst>
                      <c:ext uri="{02D57815-91ED-43cb-92C2-25804820EDAC}">
                        <c15:formulaRef>
                          <c15:sqref>Analysis!$C$25:$C$28</c15:sqref>
                        </c15:formulaRef>
                      </c:ext>
                    </c:extLst>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C795-4526-82C4-785BD0A5EC66}"/>
                  </c:ext>
                </c:extLst>
              </c15:ser>
            </c15:filteredBarSeries>
          </c:ext>
        </c:extLst>
      </c:barChart>
      <c:lineChart>
        <c:grouping val="standard"/>
        <c:varyColors val="0"/>
        <c:ser>
          <c:idx val="2"/>
          <c:order val="2"/>
          <c:tx>
            <c:strRef>
              <c:f>Analysis!$E$24</c:f>
              <c:strCache>
                <c:ptCount val="1"/>
                <c:pt idx="0">
                  <c:v>avg</c:v>
                </c:pt>
              </c:strCache>
            </c:strRef>
          </c:tx>
          <c:spPr>
            <a:ln w="12700" cap="rnd">
              <a:solidFill>
                <a:schemeClr val="bg1">
                  <a:lumMod val="50000"/>
                </a:schemeClr>
              </a:solidFill>
              <a:round/>
            </a:ln>
            <a:effectLst/>
          </c:spPr>
          <c:marker>
            <c:symbol val="none"/>
          </c:marker>
          <c:val>
            <c:numRef>
              <c:f>Analysis!$E$25:$E$28</c:f>
              <c:numCache>
                <c:formatCode>#,##0</c:formatCode>
                <c:ptCount val="4"/>
                <c:pt idx="0">
                  <c:v>1389.5</c:v>
                </c:pt>
                <c:pt idx="1">
                  <c:v>1389.5</c:v>
                </c:pt>
                <c:pt idx="2">
                  <c:v>1389.5</c:v>
                </c:pt>
                <c:pt idx="3">
                  <c:v>1389.5</c:v>
                </c:pt>
              </c:numCache>
            </c:numRef>
          </c:val>
          <c:smooth val="0"/>
          <c:extLst>
            <c:ext xmlns:c16="http://schemas.microsoft.com/office/drawing/2014/chart" uri="{C3380CC4-5D6E-409C-BE32-E72D297353CC}">
              <c16:uniqueId val="{00000003-C795-4526-82C4-785BD0A5EC66}"/>
            </c:ext>
          </c:extLst>
        </c:ser>
        <c:dLbls>
          <c:showLegendKey val="0"/>
          <c:showVal val="0"/>
          <c:showCatName val="0"/>
          <c:showSerName val="0"/>
          <c:showPercent val="0"/>
          <c:showBubbleSize val="0"/>
        </c:dLbls>
        <c:marker val="1"/>
        <c:smooth val="0"/>
        <c:axId val="1094117360"/>
        <c:axId val="1094103920"/>
      </c:lineChart>
      <c:catAx>
        <c:axId val="109411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03920"/>
        <c:crosses val="autoZero"/>
        <c:auto val="1"/>
        <c:lblAlgn val="ctr"/>
        <c:lblOffset val="100"/>
        <c:noMultiLvlLbl val="0"/>
      </c:catAx>
      <c:valAx>
        <c:axId val="1094103920"/>
        <c:scaling>
          <c:orientation val="minMax"/>
        </c:scaling>
        <c:delete val="1"/>
        <c:axPos val="l"/>
        <c:numFmt formatCode="[&lt;999999]0.00,&quot;k&quot;;[&lt;999999999]0.00,,&quot;M&quot;;0.00,&quot;B&quot;" sourceLinked="1"/>
        <c:majorTickMark val="none"/>
        <c:minorTickMark val="none"/>
        <c:tickLblPos val="nextTo"/>
        <c:crossAx val="1094117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002962733959375E-2"/>
          <c:y val="0.16241724648372896"/>
          <c:w val="0.97775867029064867"/>
          <c:h val="0.63493984179740137"/>
        </c:manualLayout>
      </c:layout>
      <c:lineChart>
        <c:grouping val="standard"/>
        <c:varyColors val="0"/>
        <c:ser>
          <c:idx val="0"/>
          <c:order val="0"/>
          <c:tx>
            <c:strRef>
              <c:f>Analysis!$C$39</c:f>
              <c:strCache>
                <c:ptCount val="1"/>
                <c:pt idx="0">
                  <c:v>Total</c:v>
                </c:pt>
              </c:strCache>
            </c:strRef>
          </c:tx>
          <c:spPr>
            <a:ln w="28575" cap="rnd">
              <a:solidFill>
                <a:schemeClr val="tx1">
                  <a:lumMod val="95000"/>
                  <a:lumOff val="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Analysis!$B$40:$B$51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Analysis!$C$40:$C$51</c:f>
              <c:numCache>
                <c:formatCode>[&lt;999999]0.00,"k";[&lt;999999999]0.00,,"M";0.00,"B"</c:formatCode>
                <c:ptCount val="12"/>
                <c:pt idx="0">
                  <c:v>132598.25779999999</c:v>
                </c:pt>
                <c:pt idx="1">
                  <c:v>142495.84640000001</c:v>
                </c:pt>
                <c:pt idx="2">
                  <c:v>204691.20369999998</c:v>
                </c:pt>
                <c:pt idx="3">
                  <c:v>196209.89109999995</c:v>
                </c:pt>
                <c:pt idx="4">
                  <c:v>176150.08549999996</c:v>
                </c:pt>
                <c:pt idx="5">
                  <c:v>120174.3446</c:v>
                </c:pt>
                <c:pt idx="6">
                  <c:v>158432.91669999997</c:v>
                </c:pt>
                <c:pt idx="7">
                  <c:v>206421.74340000004</c:v>
                </c:pt>
                <c:pt idx="8">
                  <c:v>248331.22520000002</c:v>
                </c:pt>
                <c:pt idx="9">
                  <c:v>189785.55600000001</c:v>
                </c:pt>
                <c:pt idx="10">
                  <c:v>100755.14390000002</c:v>
                </c:pt>
                <c:pt idx="11">
                  <c:v>331050.35469999997</c:v>
                </c:pt>
              </c:numCache>
            </c:numRef>
          </c:val>
          <c:smooth val="1"/>
          <c:extLst>
            <c:ext xmlns:c16="http://schemas.microsoft.com/office/drawing/2014/chart" uri="{C3380CC4-5D6E-409C-BE32-E72D297353CC}">
              <c16:uniqueId val="{00000000-64E8-4112-A1FF-24A64E60B6FC}"/>
            </c:ext>
          </c:extLst>
        </c:ser>
        <c:dLbls>
          <c:dLblPos val="t"/>
          <c:showLegendKey val="0"/>
          <c:showVal val="1"/>
          <c:showCatName val="0"/>
          <c:showSerName val="0"/>
          <c:showPercent val="0"/>
          <c:showBubbleSize val="0"/>
        </c:dLbls>
        <c:smooth val="0"/>
        <c:axId val="1120730336"/>
        <c:axId val="1120729856"/>
      </c:lineChart>
      <c:catAx>
        <c:axId val="112073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729856"/>
        <c:crosses val="autoZero"/>
        <c:auto val="1"/>
        <c:lblAlgn val="ctr"/>
        <c:lblOffset val="100"/>
        <c:noMultiLvlLbl val="0"/>
      </c:catAx>
      <c:valAx>
        <c:axId val="1120729856"/>
        <c:scaling>
          <c:orientation val="minMax"/>
        </c:scaling>
        <c:delete val="1"/>
        <c:axPos val="l"/>
        <c:numFmt formatCode="[&lt;999999]0.00,&quot;k&quot;;[&lt;999999999]0.00,,&quot;M&quot;;0.00,&quot;B&quot;" sourceLinked="1"/>
        <c:majorTickMark val="out"/>
        <c:minorTickMark val="none"/>
        <c:tickLblPos val="nextTo"/>
        <c:crossAx val="112073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755297295941177E-2"/>
          <c:y val="0"/>
          <c:w val="0.93448940540811765"/>
          <c:h val="0.75542460418254165"/>
        </c:manualLayout>
      </c:layout>
      <c:barChart>
        <c:barDir val="col"/>
        <c:grouping val="clustered"/>
        <c:varyColors val="0"/>
        <c:ser>
          <c:idx val="0"/>
          <c:order val="0"/>
          <c:tx>
            <c:strRef>
              <c:f>Analysis!$R$18</c:f>
              <c:strCache>
                <c:ptCount val="1"/>
                <c:pt idx="0">
                  <c:v>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Analysis!$Q$19:$Q$25</c:f>
              <c:strCache>
                <c:ptCount val="7"/>
                <c:pt idx="0">
                  <c:v>Fri</c:v>
                </c:pt>
                <c:pt idx="1">
                  <c:v>Tue</c:v>
                </c:pt>
                <c:pt idx="2">
                  <c:v>Thu</c:v>
                </c:pt>
                <c:pt idx="3">
                  <c:v>Mon</c:v>
                </c:pt>
                <c:pt idx="4">
                  <c:v>Sat</c:v>
                </c:pt>
                <c:pt idx="5">
                  <c:v>Wed</c:v>
                </c:pt>
                <c:pt idx="6">
                  <c:v>Sun</c:v>
                </c:pt>
              </c:strCache>
            </c:strRef>
          </c:cat>
          <c:val>
            <c:numRef>
              <c:f>Analysis!$R$19:$R$25</c:f>
              <c:numCache>
                <c:formatCode>[&lt;999999]0.00,"k";[&lt;999999999]0.00,,"M";0.00,"B"</c:formatCode>
                <c:ptCount val="7"/>
                <c:pt idx="0">
                  <c:v>32364.673900000002</c:v>
                </c:pt>
                <c:pt idx="1">
                  <c:v>32367.130799999999</c:v>
                </c:pt>
                <c:pt idx="2">
                  <c:v>29279.975699999999</c:v>
                </c:pt>
                <c:pt idx="3">
                  <c:v>20661.088800000001</c:v>
                </c:pt>
                <c:pt idx="4">
                  <c:v>35675.870999999999</c:v>
                </c:pt>
                <c:pt idx="5">
                  <c:v>2773.6907999999999</c:v>
                </c:pt>
                <c:pt idx="6">
                  <c:v>53299.312400000003</c:v>
                </c:pt>
              </c:numCache>
            </c:numRef>
          </c:val>
          <c:extLst>
            <c:ext xmlns:c16="http://schemas.microsoft.com/office/drawing/2014/chart" uri="{C3380CC4-5D6E-409C-BE32-E72D297353CC}">
              <c16:uniqueId val="{00000000-E221-45EF-9F2D-44C18AD78966}"/>
            </c:ext>
          </c:extLst>
        </c:ser>
        <c:ser>
          <c:idx val="1"/>
          <c:order val="1"/>
          <c:tx>
            <c:strRef>
              <c:f>Analysis!$S$18</c:f>
              <c:strCache>
                <c:ptCount val="1"/>
                <c:pt idx="0">
                  <c:v>top 3</c:v>
                </c:pt>
              </c:strCache>
            </c:strRef>
          </c:tx>
          <c:spPr>
            <a:solidFill>
              <a:srgbClr val="59C7E9"/>
            </a:solidFill>
            <a:ln>
              <a:noFill/>
            </a:ln>
            <a:effectLst/>
          </c:spPr>
          <c:invertIfNegative val="0"/>
          <c:cat>
            <c:strRef>
              <c:f>Analysis!$Q$19:$Q$25</c:f>
              <c:strCache>
                <c:ptCount val="7"/>
                <c:pt idx="0">
                  <c:v>Fri</c:v>
                </c:pt>
                <c:pt idx="1">
                  <c:v>Tue</c:v>
                </c:pt>
                <c:pt idx="2">
                  <c:v>Thu</c:v>
                </c:pt>
                <c:pt idx="3">
                  <c:v>Mon</c:v>
                </c:pt>
                <c:pt idx="4">
                  <c:v>Sat</c:v>
                </c:pt>
                <c:pt idx="5">
                  <c:v>Wed</c:v>
                </c:pt>
                <c:pt idx="6">
                  <c:v>Sun</c:v>
                </c:pt>
              </c:strCache>
            </c:strRef>
          </c:cat>
          <c:val>
            <c:numRef>
              <c:f>Analysis!$S$19:$S$25</c:f>
              <c:numCache>
                <c:formatCode>[&lt;999999]0.00,"k";[&lt;999999999]0.00,,"M";0.00,"B"</c:formatCode>
                <c:ptCount val="7"/>
                <c:pt idx="0">
                  <c:v>0</c:v>
                </c:pt>
                <c:pt idx="1">
                  <c:v>32367.130799999999</c:v>
                </c:pt>
                <c:pt idx="2">
                  <c:v>0</c:v>
                </c:pt>
                <c:pt idx="3">
                  <c:v>0</c:v>
                </c:pt>
                <c:pt idx="4">
                  <c:v>35675.870999999999</c:v>
                </c:pt>
                <c:pt idx="5">
                  <c:v>0</c:v>
                </c:pt>
                <c:pt idx="6">
                  <c:v>53299.312400000003</c:v>
                </c:pt>
              </c:numCache>
            </c:numRef>
          </c:val>
          <c:extLst>
            <c:ext xmlns:c16="http://schemas.microsoft.com/office/drawing/2014/chart" uri="{C3380CC4-5D6E-409C-BE32-E72D297353CC}">
              <c16:uniqueId val="{00000001-E221-45EF-9F2D-44C18AD78966}"/>
            </c:ext>
          </c:extLst>
        </c:ser>
        <c:dLbls>
          <c:showLegendKey val="0"/>
          <c:showVal val="0"/>
          <c:showCatName val="0"/>
          <c:showSerName val="0"/>
          <c:showPercent val="0"/>
          <c:showBubbleSize val="0"/>
        </c:dLbls>
        <c:gapWidth val="219"/>
        <c:overlap val="100"/>
        <c:axId val="1094836016"/>
        <c:axId val="1094836976"/>
      </c:barChart>
      <c:catAx>
        <c:axId val="109483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836976"/>
        <c:crosses val="autoZero"/>
        <c:auto val="1"/>
        <c:lblAlgn val="ctr"/>
        <c:lblOffset val="100"/>
        <c:noMultiLvlLbl val="0"/>
      </c:catAx>
      <c:valAx>
        <c:axId val="1094836976"/>
        <c:scaling>
          <c:orientation val="minMax"/>
        </c:scaling>
        <c:delete val="1"/>
        <c:axPos val="l"/>
        <c:numFmt formatCode="[&lt;999999]0.00,&quot;k&quot;;[&lt;999999999]0.00,,&quot;M&quot;;0.00,&quot;B&quot;" sourceLinked="1"/>
        <c:majorTickMark val="out"/>
        <c:minorTickMark val="none"/>
        <c:tickLblPos val="nextTo"/>
        <c:crossAx val="109483601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59C7E9"/>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C7E9"/>
          </a:solidFill>
          <a:ln w="19050">
            <a:noFill/>
          </a:ln>
          <a:effectLst/>
        </c:spPr>
        <c:dLbl>
          <c:idx val="0"/>
          <c:layout>
            <c:manualLayout>
              <c:x val="7.5820890428797486E-2"/>
              <c:y val="8.48060853517851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64319237054434"/>
                  <c:h val="0.10592970146921471"/>
                </c:manualLayout>
              </c15:layout>
            </c:ext>
          </c:extLst>
        </c:dLbl>
      </c:pivotFmt>
      <c:pivotFmt>
        <c:idx val="6"/>
        <c:spPr>
          <a:solidFill>
            <a:schemeClr val="bg1">
              <a:lumMod val="85000"/>
            </a:schemeClr>
          </a:solidFill>
          <a:ln w="19050">
            <a:noFill/>
          </a:ln>
          <a:effectLst/>
        </c:spPr>
        <c:dLbl>
          <c:idx val="0"/>
          <c:layout>
            <c:manualLayout>
              <c:x val="6.1333338484689831E-2"/>
              <c:y val="-3.0218021837874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459202222295197"/>
                  <c:h val="0.18863600132293071"/>
                </c:manualLayout>
              </c15:layout>
            </c:ext>
          </c:extLst>
        </c:dLbl>
      </c:pivotFmt>
    </c:pivotFmts>
    <c:plotArea>
      <c:layout/>
      <c:pieChart>
        <c:varyColors val="1"/>
        <c:ser>
          <c:idx val="0"/>
          <c:order val="0"/>
          <c:tx>
            <c:strRef>
              <c:f>Analysis!$O$44</c:f>
              <c:strCache>
                <c:ptCount val="1"/>
                <c:pt idx="0">
                  <c:v>Total</c:v>
                </c:pt>
              </c:strCache>
            </c:strRef>
          </c:tx>
          <c:spPr>
            <a:solidFill>
              <a:srgbClr val="59C7E9"/>
            </a:solidFill>
            <a:ln>
              <a:noFill/>
            </a:ln>
          </c:spPr>
          <c:dPt>
            <c:idx val="0"/>
            <c:bubble3D val="0"/>
            <c:spPr>
              <a:solidFill>
                <a:srgbClr val="59C7E9"/>
              </a:solidFill>
              <a:ln w="19050">
                <a:noFill/>
              </a:ln>
              <a:effectLst/>
            </c:spPr>
            <c:extLst>
              <c:ext xmlns:c16="http://schemas.microsoft.com/office/drawing/2014/chart" uri="{C3380CC4-5D6E-409C-BE32-E72D297353CC}">
                <c16:uniqueId val="{00000001-E7A4-4AF3-A33C-98AF36188EB1}"/>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E7A4-4AF3-A33C-98AF36188EB1}"/>
              </c:ext>
            </c:extLst>
          </c:dPt>
          <c:dLbls>
            <c:dLbl>
              <c:idx val="0"/>
              <c:layout>
                <c:manualLayout>
                  <c:x val="7.5820890428797486E-2"/>
                  <c:y val="8.4806085351785146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364319237054434"/>
                      <c:h val="0.10592970146921471"/>
                    </c:manualLayout>
                  </c15:layout>
                </c:ext>
                <c:ext xmlns:c16="http://schemas.microsoft.com/office/drawing/2014/chart" uri="{C3380CC4-5D6E-409C-BE32-E72D297353CC}">
                  <c16:uniqueId val="{00000001-E7A4-4AF3-A33C-98AF36188EB1}"/>
                </c:ext>
              </c:extLst>
            </c:dLbl>
            <c:dLbl>
              <c:idx val="1"/>
              <c:layout>
                <c:manualLayout>
                  <c:x val="6.1333338484689831E-2"/>
                  <c:y val="-3.021802183787437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6459202222295197"/>
                      <c:h val="0.18863600132293071"/>
                    </c:manualLayout>
                  </c15:layout>
                </c:ext>
                <c:ext xmlns:c16="http://schemas.microsoft.com/office/drawing/2014/chart" uri="{C3380CC4-5D6E-409C-BE32-E72D297353CC}">
                  <c16:uniqueId val="{00000003-E7A4-4AF3-A33C-98AF36188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Analysis!$N$45:$N$46</c:f>
              <c:strCache>
                <c:ptCount val="2"/>
                <c:pt idx="0">
                  <c:v>Weekday</c:v>
                </c:pt>
                <c:pt idx="1">
                  <c:v>Weekend</c:v>
                </c:pt>
              </c:strCache>
            </c:strRef>
          </c:cat>
          <c:val>
            <c:numRef>
              <c:f>Analysis!$O$45:$O$46</c:f>
              <c:numCache>
                <c:formatCode>[&lt;999999]0.00,"k";[&lt;999999999]0.00,,"M";0.00,"B"</c:formatCode>
                <c:ptCount val="2"/>
                <c:pt idx="0">
                  <c:v>117446.56</c:v>
                </c:pt>
                <c:pt idx="1">
                  <c:v>88975.183400000009</c:v>
                </c:pt>
              </c:numCache>
            </c:numRef>
          </c:val>
          <c:extLst>
            <c:ext xmlns:c16="http://schemas.microsoft.com/office/drawing/2014/chart" uri="{C3380CC4-5D6E-409C-BE32-E72D297353CC}">
              <c16:uniqueId val="{00000004-E7A4-4AF3-A33C-98AF36188EB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C$2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170834</xdr:colOff>
      <xdr:row>26</xdr:row>
      <xdr:rowOff>91844</xdr:rowOff>
    </xdr:from>
    <xdr:to>
      <xdr:col>2</xdr:col>
      <xdr:colOff>73784</xdr:colOff>
      <xdr:row>35</xdr:row>
      <xdr:rowOff>184417</xdr:rowOff>
    </xdr:to>
    <xdr:sp macro="" textlink="">
      <xdr:nvSpPr>
        <xdr:cNvPr id="1047" name="Rectangle: Rounded Corners 1046">
          <a:extLst>
            <a:ext uri="{FF2B5EF4-FFF2-40B4-BE49-F238E27FC236}">
              <a16:creationId xmlns:a16="http://schemas.microsoft.com/office/drawing/2014/main" id="{53F14C08-1DD8-ABFA-4778-9FCACD82B971}"/>
            </a:ext>
          </a:extLst>
        </xdr:cNvPr>
        <xdr:cNvSpPr/>
      </xdr:nvSpPr>
      <xdr:spPr>
        <a:xfrm>
          <a:off x="170834" y="4599450"/>
          <a:ext cx="3055591" cy="17829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1428750</xdr:colOff>
      <xdr:row>14</xdr:row>
      <xdr:rowOff>152400</xdr:rowOff>
    </xdr:from>
    <xdr:to>
      <xdr:col>11</xdr:col>
      <xdr:colOff>238124</xdr:colOff>
      <xdr:row>26</xdr:row>
      <xdr:rowOff>25743</xdr:rowOff>
    </xdr:to>
    <xdr:sp macro="" textlink="">
      <xdr:nvSpPr>
        <xdr:cNvPr id="1042" name="Rectangle: Rounded Corners 1041">
          <a:extLst>
            <a:ext uri="{FF2B5EF4-FFF2-40B4-BE49-F238E27FC236}">
              <a16:creationId xmlns:a16="http://schemas.microsoft.com/office/drawing/2014/main" id="{0CCAF549-8FCC-FCDF-1490-07EF5957520C}"/>
            </a:ext>
          </a:extLst>
        </xdr:cNvPr>
        <xdr:cNvSpPr/>
      </xdr:nvSpPr>
      <xdr:spPr>
        <a:xfrm>
          <a:off x="7641453" y="2795373"/>
          <a:ext cx="4747482" cy="176118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634999</xdr:colOff>
      <xdr:row>14</xdr:row>
      <xdr:rowOff>72209</xdr:rowOff>
    </xdr:from>
    <xdr:to>
      <xdr:col>4</xdr:col>
      <xdr:colOff>1078301</xdr:colOff>
      <xdr:row>26</xdr:row>
      <xdr:rowOff>33618</xdr:rowOff>
    </xdr:to>
    <xdr:sp macro="" textlink="">
      <xdr:nvSpPr>
        <xdr:cNvPr id="1039" name="Rectangle: Rounded Corners 1038">
          <a:extLst>
            <a:ext uri="{FF2B5EF4-FFF2-40B4-BE49-F238E27FC236}">
              <a16:creationId xmlns:a16="http://schemas.microsoft.com/office/drawing/2014/main" id="{CB6D3CC4-6F71-AC9C-869C-BB972276B8E7}"/>
            </a:ext>
          </a:extLst>
        </xdr:cNvPr>
        <xdr:cNvSpPr/>
      </xdr:nvSpPr>
      <xdr:spPr>
        <a:xfrm>
          <a:off x="5285440" y="2739209"/>
          <a:ext cx="2006523" cy="186640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194527</xdr:colOff>
      <xdr:row>14</xdr:row>
      <xdr:rowOff>99528</xdr:rowOff>
    </xdr:from>
    <xdr:to>
      <xdr:col>3</xdr:col>
      <xdr:colOff>497217</xdr:colOff>
      <xdr:row>26</xdr:row>
      <xdr:rowOff>1</xdr:rowOff>
    </xdr:to>
    <xdr:sp macro="" textlink="">
      <xdr:nvSpPr>
        <xdr:cNvPr id="56" name="Rectangle: Rounded Corners 55">
          <a:extLst>
            <a:ext uri="{FF2B5EF4-FFF2-40B4-BE49-F238E27FC236}">
              <a16:creationId xmlns:a16="http://schemas.microsoft.com/office/drawing/2014/main" id="{5B4B0554-D485-0E6D-1BC2-EA1DA048EE32}"/>
            </a:ext>
          </a:extLst>
        </xdr:cNvPr>
        <xdr:cNvSpPr/>
      </xdr:nvSpPr>
      <xdr:spPr>
        <a:xfrm>
          <a:off x="194527" y="2783302"/>
          <a:ext cx="4957360" cy="181745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266700</xdr:colOff>
      <xdr:row>2</xdr:row>
      <xdr:rowOff>123825</xdr:rowOff>
    </xdr:from>
    <xdr:to>
      <xdr:col>5</xdr:col>
      <xdr:colOff>528600</xdr:colOff>
      <xdr:row>13</xdr:row>
      <xdr:rowOff>134325</xdr:rowOff>
    </xdr:to>
    <xdr:sp macro="" textlink="">
      <xdr:nvSpPr>
        <xdr:cNvPr id="2" name="Rectangle: Rounded Corners 1">
          <a:extLst>
            <a:ext uri="{FF2B5EF4-FFF2-40B4-BE49-F238E27FC236}">
              <a16:creationId xmlns:a16="http://schemas.microsoft.com/office/drawing/2014/main" id="{58AE1352-7843-2913-1E0C-045DB3B76487}"/>
            </a:ext>
          </a:extLst>
        </xdr:cNvPr>
        <xdr:cNvSpPr/>
      </xdr:nvSpPr>
      <xdr:spPr>
        <a:xfrm>
          <a:off x="266700" y="504825"/>
          <a:ext cx="7920000" cy="21060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209550</xdr:colOff>
      <xdr:row>4</xdr:row>
      <xdr:rowOff>114300</xdr:rowOff>
    </xdr:from>
    <xdr:to>
      <xdr:col>1</xdr:col>
      <xdr:colOff>162075</xdr:colOff>
      <xdr:row>12</xdr:row>
      <xdr:rowOff>123900</xdr:rowOff>
    </xdr:to>
    <xdr:sp macro="" textlink="">
      <xdr:nvSpPr>
        <xdr:cNvPr id="3" name="Rectangle: Rounded Corners 2">
          <a:extLst>
            <a:ext uri="{FF2B5EF4-FFF2-40B4-BE49-F238E27FC236}">
              <a16:creationId xmlns:a16="http://schemas.microsoft.com/office/drawing/2014/main" id="{68FA4419-DACC-8269-7AA5-F00FC6C9C7E3}"/>
            </a:ext>
          </a:extLst>
        </xdr:cNvPr>
        <xdr:cNvSpPr/>
      </xdr:nvSpPr>
      <xdr:spPr>
        <a:xfrm>
          <a:off x="209550" y="876300"/>
          <a:ext cx="1238400" cy="1533600"/>
        </a:xfrm>
        <a:prstGeom prst="roundRect">
          <a:avLst>
            <a:gd name="adj" fmla="val 11283"/>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381000</xdr:colOff>
      <xdr:row>4</xdr:row>
      <xdr:rowOff>114300</xdr:rowOff>
    </xdr:from>
    <xdr:to>
      <xdr:col>1</xdr:col>
      <xdr:colOff>1619400</xdr:colOff>
      <xdr:row>12</xdr:row>
      <xdr:rowOff>123900</xdr:rowOff>
    </xdr:to>
    <xdr:sp macro="" textlink="">
      <xdr:nvSpPr>
        <xdr:cNvPr id="4" name="Rectangle: Rounded Corners 3">
          <a:extLst>
            <a:ext uri="{FF2B5EF4-FFF2-40B4-BE49-F238E27FC236}">
              <a16:creationId xmlns:a16="http://schemas.microsoft.com/office/drawing/2014/main" id="{CD62FDF8-BB4D-655F-6006-4599B764736C}"/>
            </a:ext>
          </a:extLst>
        </xdr:cNvPr>
        <xdr:cNvSpPr/>
      </xdr:nvSpPr>
      <xdr:spPr>
        <a:xfrm>
          <a:off x="1666875" y="876300"/>
          <a:ext cx="1238400" cy="1533600"/>
        </a:xfrm>
        <a:prstGeom prst="roundRect">
          <a:avLst>
            <a:gd name="adj" fmla="val 11283"/>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1838325</xdr:colOff>
      <xdr:row>4</xdr:row>
      <xdr:rowOff>114300</xdr:rowOff>
    </xdr:from>
    <xdr:to>
      <xdr:col>2</xdr:col>
      <xdr:colOff>1209825</xdr:colOff>
      <xdr:row>12</xdr:row>
      <xdr:rowOff>123900</xdr:rowOff>
    </xdr:to>
    <xdr:sp macro="" textlink="">
      <xdr:nvSpPr>
        <xdr:cNvPr id="5" name="Rectangle: Rounded Corners 4">
          <a:extLst>
            <a:ext uri="{FF2B5EF4-FFF2-40B4-BE49-F238E27FC236}">
              <a16:creationId xmlns:a16="http://schemas.microsoft.com/office/drawing/2014/main" id="{D1D13A5C-11F2-E1B1-359A-B73C410FC8CD}"/>
            </a:ext>
          </a:extLst>
        </xdr:cNvPr>
        <xdr:cNvSpPr/>
      </xdr:nvSpPr>
      <xdr:spPr>
        <a:xfrm>
          <a:off x="3124200" y="876300"/>
          <a:ext cx="1238400" cy="1533600"/>
        </a:xfrm>
        <a:prstGeom prst="roundRect">
          <a:avLst>
            <a:gd name="adj" fmla="val 11283"/>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1428750</xdr:colOff>
      <xdr:row>4</xdr:row>
      <xdr:rowOff>114300</xdr:rowOff>
    </xdr:from>
    <xdr:to>
      <xdr:col>3</xdr:col>
      <xdr:colOff>1171725</xdr:colOff>
      <xdr:row>12</xdr:row>
      <xdr:rowOff>123900</xdr:rowOff>
    </xdr:to>
    <xdr:sp macro="" textlink="">
      <xdr:nvSpPr>
        <xdr:cNvPr id="6" name="Rectangle: Rounded Corners 5">
          <a:extLst>
            <a:ext uri="{FF2B5EF4-FFF2-40B4-BE49-F238E27FC236}">
              <a16:creationId xmlns:a16="http://schemas.microsoft.com/office/drawing/2014/main" id="{313CB5E3-3EC4-5713-33A4-4DB97227FF32}"/>
            </a:ext>
          </a:extLst>
        </xdr:cNvPr>
        <xdr:cNvSpPr/>
      </xdr:nvSpPr>
      <xdr:spPr>
        <a:xfrm>
          <a:off x="4581525" y="876300"/>
          <a:ext cx="1238400" cy="1533600"/>
        </a:xfrm>
        <a:prstGeom prst="roundRect">
          <a:avLst>
            <a:gd name="adj" fmla="val 11283"/>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1390650</xdr:colOff>
      <xdr:row>4</xdr:row>
      <xdr:rowOff>114300</xdr:rowOff>
    </xdr:from>
    <xdr:to>
      <xdr:col>4</xdr:col>
      <xdr:colOff>1066950</xdr:colOff>
      <xdr:row>12</xdr:row>
      <xdr:rowOff>123900</xdr:rowOff>
    </xdr:to>
    <xdr:sp macro="" textlink="">
      <xdr:nvSpPr>
        <xdr:cNvPr id="7" name="Rectangle: Rounded Corners 6">
          <a:extLst>
            <a:ext uri="{FF2B5EF4-FFF2-40B4-BE49-F238E27FC236}">
              <a16:creationId xmlns:a16="http://schemas.microsoft.com/office/drawing/2014/main" id="{0A9AC79B-EE56-3A66-1446-9988C533C912}"/>
            </a:ext>
          </a:extLst>
        </xdr:cNvPr>
        <xdr:cNvSpPr/>
      </xdr:nvSpPr>
      <xdr:spPr>
        <a:xfrm>
          <a:off x="6038850" y="876300"/>
          <a:ext cx="1238400" cy="1533600"/>
        </a:xfrm>
        <a:prstGeom prst="roundRect">
          <a:avLst>
            <a:gd name="adj" fmla="val 11283"/>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1285875</xdr:colOff>
      <xdr:row>4</xdr:row>
      <xdr:rowOff>114300</xdr:rowOff>
    </xdr:from>
    <xdr:to>
      <xdr:col>5</xdr:col>
      <xdr:colOff>1076475</xdr:colOff>
      <xdr:row>12</xdr:row>
      <xdr:rowOff>123900</xdr:rowOff>
    </xdr:to>
    <xdr:sp macro="" textlink="">
      <xdr:nvSpPr>
        <xdr:cNvPr id="8" name="Rectangle: Rounded Corners 7">
          <a:extLst>
            <a:ext uri="{FF2B5EF4-FFF2-40B4-BE49-F238E27FC236}">
              <a16:creationId xmlns:a16="http://schemas.microsoft.com/office/drawing/2014/main" id="{B9FF99C7-8EED-87C2-C7E5-54CF00671352}"/>
            </a:ext>
          </a:extLst>
        </xdr:cNvPr>
        <xdr:cNvSpPr/>
      </xdr:nvSpPr>
      <xdr:spPr>
        <a:xfrm>
          <a:off x="7496175" y="876300"/>
          <a:ext cx="1238400" cy="1533600"/>
        </a:xfrm>
        <a:prstGeom prst="roundRect">
          <a:avLst>
            <a:gd name="adj" fmla="val 11283"/>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714450</xdr:colOff>
      <xdr:row>3</xdr:row>
      <xdr:rowOff>85726</xdr:rowOff>
    </xdr:from>
    <xdr:to>
      <xdr:col>1</xdr:col>
      <xdr:colOff>1285950</xdr:colOff>
      <xdr:row>6</xdr:row>
      <xdr:rowOff>85726</xdr:rowOff>
    </xdr:to>
    <xdr:sp macro="" textlink="">
      <xdr:nvSpPr>
        <xdr:cNvPr id="10" name="Oval 9">
          <a:extLst>
            <a:ext uri="{FF2B5EF4-FFF2-40B4-BE49-F238E27FC236}">
              <a16:creationId xmlns:a16="http://schemas.microsoft.com/office/drawing/2014/main" id="{B2227EB4-F65D-48BE-F34C-754A054ED8DA}"/>
            </a:ext>
          </a:extLst>
        </xdr:cNvPr>
        <xdr:cNvSpPr/>
      </xdr:nvSpPr>
      <xdr:spPr>
        <a:xfrm>
          <a:off x="2000325" y="657226"/>
          <a:ext cx="571500"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304875</xdr:colOff>
      <xdr:row>3</xdr:row>
      <xdr:rowOff>85726</xdr:rowOff>
    </xdr:from>
    <xdr:to>
      <xdr:col>2</xdr:col>
      <xdr:colOff>876375</xdr:colOff>
      <xdr:row>6</xdr:row>
      <xdr:rowOff>85726</xdr:rowOff>
    </xdr:to>
    <xdr:sp macro="" textlink="">
      <xdr:nvSpPr>
        <xdr:cNvPr id="11" name="Oval 10">
          <a:extLst>
            <a:ext uri="{FF2B5EF4-FFF2-40B4-BE49-F238E27FC236}">
              <a16:creationId xmlns:a16="http://schemas.microsoft.com/office/drawing/2014/main" id="{7A40C327-9BB8-AB0E-3C95-E5D21007A912}"/>
            </a:ext>
          </a:extLst>
        </xdr:cNvPr>
        <xdr:cNvSpPr/>
      </xdr:nvSpPr>
      <xdr:spPr>
        <a:xfrm>
          <a:off x="3457650" y="657226"/>
          <a:ext cx="571500"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266775</xdr:colOff>
      <xdr:row>3</xdr:row>
      <xdr:rowOff>85726</xdr:rowOff>
    </xdr:from>
    <xdr:to>
      <xdr:col>3</xdr:col>
      <xdr:colOff>838275</xdr:colOff>
      <xdr:row>6</xdr:row>
      <xdr:rowOff>85726</xdr:rowOff>
    </xdr:to>
    <xdr:sp macro="" textlink="">
      <xdr:nvSpPr>
        <xdr:cNvPr id="12" name="Oval 11">
          <a:extLst>
            <a:ext uri="{FF2B5EF4-FFF2-40B4-BE49-F238E27FC236}">
              <a16:creationId xmlns:a16="http://schemas.microsoft.com/office/drawing/2014/main" id="{80925C2B-3191-9DE4-8F8B-17D63C48C87F}"/>
            </a:ext>
          </a:extLst>
        </xdr:cNvPr>
        <xdr:cNvSpPr/>
      </xdr:nvSpPr>
      <xdr:spPr>
        <a:xfrm>
          <a:off x="4914975" y="657226"/>
          <a:ext cx="571500"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162000</xdr:colOff>
      <xdr:row>3</xdr:row>
      <xdr:rowOff>85726</xdr:rowOff>
    </xdr:from>
    <xdr:to>
      <xdr:col>4</xdr:col>
      <xdr:colOff>733500</xdr:colOff>
      <xdr:row>6</xdr:row>
      <xdr:rowOff>85726</xdr:rowOff>
    </xdr:to>
    <xdr:sp macro="" textlink="">
      <xdr:nvSpPr>
        <xdr:cNvPr id="13" name="Oval 12">
          <a:extLst>
            <a:ext uri="{FF2B5EF4-FFF2-40B4-BE49-F238E27FC236}">
              <a16:creationId xmlns:a16="http://schemas.microsoft.com/office/drawing/2014/main" id="{AAD5212F-20F5-ABC9-ACFD-873747341D77}"/>
            </a:ext>
          </a:extLst>
        </xdr:cNvPr>
        <xdr:cNvSpPr/>
      </xdr:nvSpPr>
      <xdr:spPr>
        <a:xfrm>
          <a:off x="6372300" y="657226"/>
          <a:ext cx="571500"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952575</xdr:colOff>
      <xdr:row>10</xdr:row>
      <xdr:rowOff>1</xdr:rowOff>
    </xdr:from>
    <xdr:to>
      <xdr:col>1</xdr:col>
      <xdr:colOff>333375</xdr:colOff>
      <xdr:row>13</xdr:row>
      <xdr:rowOff>95176</xdr:rowOff>
    </xdr:to>
    <xdr:sp macro="" textlink="">
      <xdr:nvSpPr>
        <xdr:cNvPr id="14" name="Oval 13">
          <a:extLst>
            <a:ext uri="{FF2B5EF4-FFF2-40B4-BE49-F238E27FC236}">
              <a16:creationId xmlns:a16="http://schemas.microsoft.com/office/drawing/2014/main" id="{B3CF885A-8016-440C-BE2E-27A5AE213806}"/>
            </a:ext>
          </a:extLst>
        </xdr:cNvPr>
        <xdr:cNvSpPr/>
      </xdr:nvSpPr>
      <xdr:spPr>
        <a:xfrm>
          <a:off x="952575" y="1905001"/>
          <a:ext cx="666675" cy="6666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1114500</xdr:colOff>
      <xdr:row>10</xdr:row>
      <xdr:rowOff>9526</xdr:rowOff>
    </xdr:from>
    <xdr:to>
      <xdr:col>5</xdr:col>
      <xdr:colOff>333375</xdr:colOff>
      <xdr:row>13</xdr:row>
      <xdr:rowOff>104701</xdr:rowOff>
    </xdr:to>
    <xdr:sp macro="" textlink="">
      <xdr:nvSpPr>
        <xdr:cNvPr id="15" name="Oval 14">
          <a:extLst>
            <a:ext uri="{FF2B5EF4-FFF2-40B4-BE49-F238E27FC236}">
              <a16:creationId xmlns:a16="http://schemas.microsoft.com/office/drawing/2014/main" id="{26B9770B-9922-44EA-ABC1-10AC037DF821}"/>
            </a:ext>
          </a:extLst>
        </xdr:cNvPr>
        <xdr:cNvSpPr/>
      </xdr:nvSpPr>
      <xdr:spPr>
        <a:xfrm>
          <a:off x="7324800" y="1914526"/>
          <a:ext cx="666675" cy="6666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1066800</xdr:colOff>
      <xdr:row>10</xdr:row>
      <xdr:rowOff>114676</xdr:rowOff>
    </xdr:from>
    <xdr:to>
      <xdr:col>1</xdr:col>
      <xdr:colOff>218698</xdr:colOff>
      <xdr:row>12</xdr:row>
      <xdr:rowOff>171449</xdr:rowOff>
    </xdr:to>
    <xdr:pic>
      <xdr:nvPicPr>
        <xdr:cNvPr id="17" name="Picture 16">
          <a:extLst>
            <a:ext uri="{FF2B5EF4-FFF2-40B4-BE49-F238E27FC236}">
              <a16:creationId xmlns:a16="http://schemas.microsoft.com/office/drawing/2014/main" id="{B953EA2E-AAD5-33F5-D8E9-75D8015424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2019676"/>
          <a:ext cx="437773" cy="437773"/>
        </a:xfrm>
        <a:prstGeom prst="rect">
          <a:avLst/>
        </a:prstGeom>
      </xdr:spPr>
    </xdr:pic>
    <xdr:clientData/>
  </xdr:twoCellAnchor>
  <xdr:twoCellAnchor editAs="oneCell">
    <xdr:from>
      <xdr:col>2</xdr:col>
      <xdr:colOff>414300</xdr:colOff>
      <xdr:row>3</xdr:row>
      <xdr:rowOff>177814</xdr:rowOff>
    </xdr:from>
    <xdr:to>
      <xdr:col>2</xdr:col>
      <xdr:colOff>752475</xdr:colOff>
      <xdr:row>5</xdr:row>
      <xdr:rowOff>134989</xdr:rowOff>
    </xdr:to>
    <xdr:pic>
      <xdr:nvPicPr>
        <xdr:cNvPr id="21" name="Picture 20">
          <a:extLst>
            <a:ext uri="{FF2B5EF4-FFF2-40B4-BE49-F238E27FC236}">
              <a16:creationId xmlns:a16="http://schemas.microsoft.com/office/drawing/2014/main" id="{4C885052-1C6F-55B8-230A-87F4833A0A8C}"/>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567075" y="749314"/>
          <a:ext cx="338175" cy="338175"/>
        </a:xfrm>
        <a:prstGeom prst="rect">
          <a:avLst/>
        </a:prstGeom>
      </xdr:spPr>
    </xdr:pic>
    <xdr:clientData/>
  </xdr:twoCellAnchor>
  <xdr:twoCellAnchor editAs="oneCell">
    <xdr:from>
      <xdr:col>4</xdr:col>
      <xdr:colOff>269027</xdr:colOff>
      <xdr:row>3</xdr:row>
      <xdr:rowOff>186137</xdr:rowOff>
    </xdr:from>
    <xdr:to>
      <xdr:col>4</xdr:col>
      <xdr:colOff>619295</xdr:colOff>
      <xdr:row>5</xdr:row>
      <xdr:rowOff>155405</xdr:rowOff>
    </xdr:to>
    <xdr:pic>
      <xdr:nvPicPr>
        <xdr:cNvPr id="23" name="Picture 22">
          <a:extLst>
            <a:ext uri="{FF2B5EF4-FFF2-40B4-BE49-F238E27FC236}">
              <a16:creationId xmlns:a16="http://schemas.microsoft.com/office/drawing/2014/main" id="{123AA678-79C4-9E52-BFC9-B0B72366C734}"/>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479327" y="757637"/>
          <a:ext cx="350268" cy="350268"/>
        </a:xfrm>
        <a:prstGeom prst="rect">
          <a:avLst/>
        </a:prstGeom>
      </xdr:spPr>
    </xdr:pic>
    <xdr:clientData/>
  </xdr:twoCellAnchor>
  <xdr:twoCellAnchor editAs="oneCell">
    <xdr:from>
      <xdr:col>3</xdr:col>
      <xdr:colOff>361877</xdr:colOff>
      <xdr:row>3</xdr:row>
      <xdr:rowOff>174212</xdr:rowOff>
    </xdr:from>
    <xdr:to>
      <xdr:col>3</xdr:col>
      <xdr:colOff>712145</xdr:colOff>
      <xdr:row>5</xdr:row>
      <xdr:rowOff>143480</xdr:rowOff>
    </xdr:to>
    <xdr:pic>
      <xdr:nvPicPr>
        <xdr:cNvPr id="25" name="Picture 24">
          <a:extLst>
            <a:ext uri="{FF2B5EF4-FFF2-40B4-BE49-F238E27FC236}">
              <a16:creationId xmlns:a16="http://schemas.microsoft.com/office/drawing/2014/main" id="{C1174521-3ECC-55DF-0F1D-A646D60A86F4}"/>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010077" y="745712"/>
          <a:ext cx="350268" cy="350268"/>
        </a:xfrm>
        <a:prstGeom prst="rect">
          <a:avLst/>
        </a:prstGeom>
      </xdr:spPr>
    </xdr:pic>
    <xdr:clientData/>
  </xdr:twoCellAnchor>
  <xdr:twoCellAnchor editAs="oneCell">
    <xdr:from>
      <xdr:col>4</xdr:col>
      <xdr:colOff>1235775</xdr:colOff>
      <xdr:row>10</xdr:row>
      <xdr:rowOff>189664</xdr:rowOff>
    </xdr:from>
    <xdr:to>
      <xdr:col>5</xdr:col>
      <xdr:colOff>138150</xdr:colOff>
      <xdr:row>12</xdr:row>
      <xdr:rowOff>158839</xdr:rowOff>
    </xdr:to>
    <xdr:pic>
      <xdr:nvPicPr>
        <xdr:cNvPr id="27" name="Picture 26">
          <a:extLst>
            <a:ext uri="{FF2B5EF4-FFF2-40B4-BE49-F238E27FC236}">
              <a16:creationId xmlns:a16="http://schemas.microsoft.com/office/drawing/2014/main" id="{1D95F760-1DC1-44AF-172E-AEA5ED3A80D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46075" y="2094664"/>
          <a:ext cx="350175" cy="350175"/>
        </a:xfrm>
        <a:prstGeom prst="rect">
          <a:avLst/>
        </a:prstGeom>
      </xdr:spPr>
    </xdr:pic>
    <xdr:clientData/>
  </xdr:twoCellAnchor>
  <xdr:twoCellAnchor editAs="oneCell">
    <xdr:from>
      <xdr:col>1</xdr:col>
      <xdr:colOff>804751</xdr:colOff>
      <xdr:row>3</xdr:row>
      <xdr:rowOff>161925</xdr:rowOff>
    </xdr:from>
    <xdr:to>
      <xdr:col>1</xdr:col>
      <xdr:colOff>1194017</xdr:colOff>
      <xdr:row>5</xdr:row>
      <xdr:rowOff>170191</xdr:rowOff>
    </xdr:to>
    <xdr:pic>
      <xdr:nvPicPr>
        <xdr:cNvPr id="29" name="Picture 28">
          <a:extLst>
            <a:ext uri="{FF2B5EF4-FFF2-40B4-BE49-F238E27FC236}">
              <a16:creationId xmlns:a16="http://schemas.microsoft.com/office/drawing/2014/main" id="{0FB89ECF-5B29-0188-F71C-A3E23166B387}"/>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090626" y="733425"/>
          <a:ext cx="389266" cy="389266"/>
        </a:xfrm>
        <a:prstGeom prst="rect">
          <a:avLst/>
        </a:prstGeom>
      </xdr:spPr>
    </xdr:pic>
    <xdr:clientData/>
  </xdr:twoCellAnchor>
  <xdr:twoCellAnchor>
    <xdr:from>
      <xdr:col>0</xdr:col>
      <xdr:colOff>409575</xdr:colOff>
      <xdr:row>5</xdr:row>
      <xdr:rowOff>4724</xdr:rowOff>
    </xdr:from>
    <xdr:to>
      <xdr:col>0</xdr:col>
      <xdr:colOff>1238250</xdr:colOff>
      <xdr:row>6</xdr:row>
      <xdr:rowOff>90449</xdr:rowOff>
    </xdr:to>
    <xdr:sp macro="" textlink="">
      <xdr:nvSpPr>
        <xdr:cNvPr id="32" name="TextBox 31">
          <a:extLst>
            <a:ext uri="{FF2B5EF4-FFF2-40B4-BE49-F238E27FC236}">
              <a16:creationId xmlns:a16="http://schemas.microsoft.com/office/drawing/2014/main" id="{571B63AE-B05B-8B9B-304E-A084E8208F82}"/>
            </a:ext>
          </a:extLst>
        </xdr:cNvPr>
        <xdr:cNvSpPr txBox="1"/>
      </xdr:nvSpPr>
      <xdr:spPr>
        <a:xfrm>
          <a:off x="409575" y="972712"/>
          <a:ext cx="828675" cy="2793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bg1">
                  <a:lumMod val="95000"/>
                </a:schemeClr>
              </a:solidFill>
            </a:rPr>
            <a:t>Total Qty</a:t>
          </a:r>
        </a:p>
      </xdr:txBody>
    </xdr:sp>
    <xdr:clientData/>
  </xdr:twoCellAnchor>
  <xdr:twoCellAnchor>
    <xdr:from>
      <xdr:col>1</xdr:col>
      <xdr:colOff>619125</xdr:colOff>
      <xdr:row>6</xdr:row>
      <xdr:rowOff>76200</xdr:rowOff>
    </xdr:from>
    <xdr:to>
      <xdr:col>1</xdr:col>
      <xdr:colOff>1704974</xdr:colOff>
      <xdr:row>7</xdr:row>
      <xdr:rowOff>161925</xdr:rowOff>
    </xdr:to>
    <xdr:sp macro="" textlink="">
      <xdr:nvSpPr>
        <xdr:cNvPr id="33" name="TextBox 32">
          <a:extLst>
            <a:ext uri="{FF2B5EF4-FFF2-40B4-BE49-F238E27FC236}">
              <a16:creationId xmlns:a16="http://schemas.microsoft.com/office/drawing/2014/main" id="{63515F87-3E6D-F90E-F551-3A2E397DDF27}"/>
            </a:ext>
          </a:extLst>
        </xdr:cNvPr>
        <xdr:cNvSpPr txBox="1"/>
      </xdr:nvSpPr>
      <xdr:spPr>
        <a:xfrm>
          <a:off x="1905000" y="1219200"/>
          <a:ext cx="108584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1"/>
              </a:solidFill>
            </a:rPr>
            <a:t>Total GOCS</a:t>
          </a:r>
        </a:p>
      </xdr:txBody>
    </xdr:sp>
    <xdr:clientData/>
  </xdr:twoCellAnchor>
  <xdr:twoCellAnchor>
    <xdr:from>
      <xdr:col>2</xdr:col>
      <xdr:colOff>114300</xdr:colOff>
      <xdr:row>6</xdr:row>
      <xdr:rowOff>76200</xdr:rowOff>
    </xdr:from>
    <xdr:to>
      <xdr:col>2</xdr:col>
      <xdr:colOff>1200149</xdr:colOff>
      <xdr:row>7</xdr:row>
      <xdr:rowOff>161925</xdr:rowOff>
    </xdr:to>
    <xdr:sp macro="" textlink="">
      <xdr:nvSpPr>
        <xdr:cNvPr id="35" name="TextBox 34">
          <a:extLst>
            <a:ext uri="{FF2B5EF4-FFF2-40B4-BE49-F238E27FC236}">
              <a16:creationId xmlns:a16="http://schemas.microsoft.com/office/drawing/2014/main" id="{19487632-0B94-67CF-7AC2-575074395484}"/>
            </a:ext>
          </a:extLst>
        </xdr:cNvPr>
        <xdr:cNvSpPr txBox="1"/>
      </xdr:nvSpPr>
      <xdr:spPr>
        <a:xfrm>
          <a:off x="3267075" y="1219200"/>
          <a:ext cx="108584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1"/>
              </a:solidFill>
            </a:rPr>
            <a:t>Total Revenue</a:t>
          </a:r>
        </a:p>
      </xdr:txBody>
    </xdr:sp>
    <xdr:clientData/>
  </xdr:twoCellAnchor>
  <xdr:twoCellAnchor>
    <xdr:from>
      <xdr:col>3</xdr:col>
      <xdr:colOff>161925</xdr:colOff>
      <xdr:row>6</xdr:row>
      <xdr:rowOff>76200</xdr:rowOff>
    </xdr:from>
    <xdr:to>
      <xdr:col>3</xdr:col>
      <xdr:colOff>1247774</xdr:colOff>
      <xdr:row>7</xdr:row>
      <xdr:rowOff>161925</xdr:rowOff>
    </xdr:to>
    <xdr:sp macro="" textlink="">
      <xdr:nvSpPr>
        <xdr:cNvPr id="36" name="TextBox 35">
          <a:extLst>
            <a:ext uri="{FF2B5EF4-FFF2-40B4-BE49-F238E27FC236}">
              <a16:creationId xmlns:a16="http://schemas.microsoft.com/office/drawing/2014/main" id="{A518C06F-EC8F-4675-B8A5-29A54ECC30AA}"/>
            </a:ext>
          </a:extLst>
        </xdr:cNvPr>
        <xdr:cNvSpPr txBox="1"/>
      </xdr:nvSpPr>
      <xdr:spPr>
        <a:xfrm>
          <a:off x="4810125" y="1219200"/>
          <a:ext cx="108584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1"/>
              </a:solidFill>
            </a:rPr>
            <a:t>Total Profit</a:t>
          </a:r>
        </a:p>
      </xdr:txBody>
    </xdr:sp>
    <xdr:clientData/>
  </xdr:twoCellAnchor>
  <xdr:twoCellAnchor>
    <xdr:from>
      <xdr:col>3</xdr:col>
      <xdr:colOff>1466850</xdr:colOff>
      <xdr:row>6</xdr:row>
      <xdr:rowOff>76200</xdr:rowOff>
    </xdr:from>
    <xdr:to>
      <xdr:col>4</xdr:col>
      <xdr:colOff>990599</xdr:colOff>
      <xdr:row>7</xdr:row>
      <xdr:rowOff>161925</xdr:rowOff>
    </xdr:to>
    <xdr:sp macro="" textlink="">
      <xdr:nvSpPr>
        <xdr:cNvPr id="37" name="TextBox 36">
          <a:extLst>
            <a:ext uri="{FF2B5EF4-FFF2-40B4-BE49-F238E27FC236}">
              <a16:creationId xmlns:a16="http://schemas.microsoft.com/office/drawing/2014/main" id="{05FB4543-2585-44C3-97B4-CAE3D5AC6702}"/>
            </a:ext>
          </a:extLst>
        </xdr:cNvPr>
        <xdr:cNvSpPr txBox="1"/>
      </xdr:nvSpPr>
      <xdr:spPr>
        <a:xfrm>
          <a:off x="6115050" y="1219200"/>
          <a:ext cx="108584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1"/>
              </a:solidFill>
            </a:rPr>
            <a:t>%Profit</a:t>
          </a:r>
          <a:r>
            <a:rPr lang="en-GB" sz="1100" b="1" baseline="0">
              <a:solidFill>
                <a:schemeClr val="tx1"/>
              </a:solidFill>
            </a:rPr>
            <a:t> margin</a:t>
          </a:r>
          <a:endParaRPr lang="en-GB" sz="1100" b="1">
            <a:solidFill>
              <a:schemeClr val="tx1"/>
            </a:solidFill>
          </a:endParaRPr>
        </a:p>
      </xdr:txBody>
    </xdr:sp>
    <xdr:clientData/>
  </xdr:twoCellAnchor>
  <xdr:twoCellAnchor>
    <xdr:from>
      <xdr:col>4</xdr:col>
      <xdr:colOff>1381125</xdr:colOff>
      <xdr:row>4</xdr:row>
      <xdr:rowOff>171450</xdr:rowOff>
    </xdr:from>
    <xdr:to>
      <xdr:col>5</xdr:col>
      <xdr:colOff>1019174</xdr:colOff>
      <xdr:row>6</xdr:row>
      <xdr:rowOff>66675</xdr:rowOff>
    </xdr:to>
    <xdr:sp macro="" textlink="">
      <xdr:nvSpPr>
        <xdr:cNvPr id="38" name="TextBox 37">
          <a:extLst>
            <a:ext uri="{FF2B5EF4-FFF2-40B4-BE49-F238E27FC236}">
              <a16:creationId xmlns:a16="http://schemas.microsoft.com/office/drawing/2014/main" id="{C1D84F3A-8509-41DE-BE50-8F71819A21ED}"/>
            </a:ext>
          </a:extLst>
        </xdr:cNvPr>
        <xdr:cNvSpPr txBox="1"/>
      </xdr:nvSpPr>
      <xdr:spPr>
        <a:xfrm>
          <a:off x="7591425" y="933450"/>
          <a:ext cx="1085849"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bg1"/>
              </a:solidFill>
            </a:rPr>
            <a:t>#Transactions</a:t>
          </a:r>
        </a:p>
      </xdr:txBody>
    </xdr:sp>
    <xdr:clientData/>
  </xdr:twoCellAnchor>
  <xdr:twoCellAnchor>
    <xdr:from>
      <xdr:col>2</xdr:col>
      <xdr:colOff>76200</xdr:colOff>
      <xdr:row>7</xdr:row>
      <xdr:rowOff>171450</xdr:rowOff>
    </xdr:from>
    <xdr:to>
      <xdr:col>2</xdr:col>
      <xdr:colOff>1286655</xdr:colOff>
      <xdr:row>9</xdr:row>
      <xdr:rowOff>183538</xdr:rowOff>
    </xdr:to>
    <xdr:sp macro="" textlink="$B$19">
      <xdr:nvSpPr>
        <xdr:cNvPr id="40" name="TextBox 39">
          <a:extLst>
            <a:ext uri="{FF2B5EF4-FFF2-40B4-BE49-F238E27FC236}">
              <a16:creationId xmlns:a16="http://schemas.microsoft.com/office/drawing/2014/main" id="{F1663050-C9C6-40EE-471C-D83849228D63}"/>
            </a:ext>
          </a:extLst>
        </xdr:cNvPr>
        <xdr:cNvSpPr txBox="1"/>
      </xdr:nvSpPr>
      <xdr:spPr>
        <a:xfrm>
          <a:off x="3228975" y="1504950"/>
          <a:ext cx="1210455" cy="393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612EFF-5CDA-4E90-975F-D73725C6480B}" type="TxLink">
            <a:rPr lang="en-US" sz="1800" b="1" i="0" u="none" strike="noStrike">
              <a:solidFill>
                <a:srgbClr val="000000"/>
              </a:solidFill>
              <a:latin typeface="Aptos Narrow"/>
            </a:rPr>
            <a:pPr/>
            <a:t>$494.06k</a:t>
          </a:fld>
          <a:endParaRPr lang="en-GB" sz="1800" b="1">
            <a:solidFill>
              <a:schemeClr val="tx1"/>
            </a:solidFill>
          </a:endParaRPr>
        </a:p>
      </xdr:txBody>
    </xdr:sp>
    <xdr:clientData/>
  </xdr:twoCellAnchor>
  <xdr:twoCellAnchor>
    <xdr:from>
      <xdr:col>3</xdr:col>
      <xdr:colOff>28575</xdr:colOff>
      <xdr:row>7</xdr:row>
      <xdr:rowOff>180975</xdr:rowOff>
    </xdr:from>
    <xdr:to>
      <xdr:col>3</xdr:col>
      <xdr:colOff>1239030</xdr:colOff>
      <xdr:row>10</xdr:row>
      <xdr:rowOff>2563</xdr:rowOff>
    </xdr:to>
    <xdr:sp macro="" textlink="$D$19">
      <xdr:nvSpPr>
        <xdr:cNvPr id="41" name="TextBox 40">
          <a:extLst>
            <a:ext uri="{FF2B5EF4-FFF2-40B4-BE49-F238E27FC236}">
              <a16:creationId xmlns:a16="http://schemas.microsoft.com/office/drawing/2014/main" id="{85737071-B5DA-2DBC-ED6B-2686ECE728C3}"/>
            </a:ext>
          </a:extLst>
        </xdr:cNvPr>
        <xdr:cNvSpPr txBox="1"/>
      </xdr:nvSpPr>
      <xdr:spPr>
        <a:xfrm>
          <a:off x="4675938" y="1499821"/>
          <a:ext cx="1210455" cy="38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5BDF6A-4CFF-4F3C-B48C-0AE099770EF0}" type="TxLink">
            <a:rPr lang="en-US" sz="1800" b="1" i="0" u="none" strike="noStrike">
              <a:solidFill>
                <a:srgbClr val="000000"/>
              </a:solidFill>
              <a:latin typeface="Aptos Narrow"/>
            </a:rPr>
            <a:t>$206.42k</a:t>
          </a:fld>
          <a:endParaRPr lang="en-GB" sz="1800" b="1">
            <a:solidFill>
              <a:schemeClr val="tx1"/>
            </a:solidFill>
          </a:endParaRPr>
        </a:p>
      </xdr:txBody>
    </xdr:sp>
    <xdr:clientData/>
  </xdr:twoCellAnchor>
  <xdr:twoCellAnchor>
    <xdr:from>
      <xdr:col>3</xdr:col>
      <xdr:colOff>1544831</xdr:colOff>
      <xdr:row>7</xdr:row>
      <xdr:rowOff>123902</xdr:rowOff>
    </xdr:from>
    <xdr:to>
      <xdr:col>4</xdr:col>
      <xdr:colOff>1193186</xdr:colOff>
      <xdr:row>9</xdr:row>
      <xdr:rowOff>135991</xdr:rowOff>
    </xdr:to>
    <xdr:sp macro="" textlink="$E$19">
      <xdr:nvSpPr>
        <xdr:cNvPr id="42" name="TextBox 41">
          <a:extLst>
            <a:ext uri="{FF2B5EF4-FFF2-40B4-BE49-F238E27FC236}">
              <a16:creationId xmlns:a16="http://schemas.microsoft.com/office/drawing/2014/main" id="{8DADC438-8AD4-65A9-633A-DDC6338FF940}"/>
            </a:ext>
          </a:extLst>
        </xdr:cNvPr>
        <xdr:cNvSpPr txBox="1"/>
      </xdr:nvSpPr>
      <xdr:spPr>
        <a:xfrm>
          <a:off x="6191172" y="1479085"/>
          <a:ext cx="1212624" cy="39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A0A7C5-9695-48AA-B096-03E8CBA535E6}" type="TxLink">
            <a:rPr lang="en-US" sz="1800" b="1" i="0" u="none" strike="noStrike">
              <a:solidFill>
                <a:srgbClr val="000000"/>
              </a:solidFill>
              <a:latin typeface="Aptos Narrow"/>
            </a:rPr>
            <a:pPr/>
            <a:t>41.78%</a:t>
          </a:fld>
          <a:endParaRPr lang="en-GB" sz="1800" b="1">
            <a:solidFill>
              <a:schemeClr val="tx1"/>
            </a:solidFill>
          </a:endParaRPr>
        </a:p>
      </xdr:txBody>
    </xdr:sp>
    <xdr:clientData/>
  </xdr:twoCellAnchor>
  <xdr:twoCellAnchor>
    <xdr:from>
      <xdr:col>1</xdr:col>
      <xdr:colOff>466725</xdr:colOff>
      <xdr:row>7</xdr:row>
      <xdr:rowOff>180975</xdr:rowOff>
    </xdr:from>
    <xdr:to>
      <xdr:col>1</xdr:col>
      <xdr:colOff>1677180</xdr:colOff>
      <xdr:row>10</xdr:row>
      <xdr:rowOff>2563</xdr:rowOff>
    </xdr:to>
    <xdr:sp macro="" textlink="$A$19">
      <xdr:nvSpPr>
        <xdr:cNvPr id="44" name="TextBox 43">
          <a:extLst>
            <a:ext uri="{FF2B5EF4-FFF2-40B4-BE49-F238E27FC236}">
              <a16:creationId xmlns:a16="http://schemas.microsoft.com/office/drawing/2014/main" id="{547D064F-1D51-4421-AA3B-7446B9D03015}"/>
            </a:ext>
          </a:extLst>
        </xdr:cNvPr>
        <xdr:cNvSpPr txBox="1"/>
      </xdr:nvSpPr>
      <xdr:spPr>
        <a:xfrm>
          <a:off x="1752600" y="1514475"/>
          <a:ext cx="1210455" cy="393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BD81D4-ED5D-4719-BD7C-80D85C36A821}" type="TxLink">
            <a:rPr lang="en-US" sz="1800" b="1" i="0" u="none" strike="noStrike">
              <a:solidFill>
                <a:srgbClr val="000000"/>
              </a:solidFill>
              <a:latin typeface="Aptos Narrow"/>
            </a:rPr>
            <a:pPr/>
            <a:t>$287.63k</a:t>
          </a:fld>
          <a:endParaRPr lang="en-GB" sz="1800" b="1">
            <a:solidFill>
              <a:schemeClr val="tx1"/>
            </a:solidFill>
          </a:endParaRPr>
        </a:p>
      </xdr:txBody>
    </xdr:sp>
    <xdr:clientData/>
  </xdr:twoCellAnchor>
  <xdr:twoCellAnchor>
    <xdr:from>
      <xdr:col>0</xdr:col>
      <xdr:colOff>454799</xdr:colOff>
      <xdr:row>5</xdr:row>
      <xdr:rowOff>175090</xdr:rowOff>
    </xdr:from>
    <xdr:to>
      <xdr:col>0</xdr:col>
      <xdr:colOff>1102499</xdr:colOff>
      <xdr:row>7</xdr:row>
      <xdr:rowOff>146514</xdr:rowOff>
    </xdr:to>
    <xdr:sp macro="" textlink="$A$18">
      <xdr:nvSpPr>
        <xdr:cNvPr id="45" name="TextBox 44">
          <a:extLst>
            <a:ext uri="{FF2B5EF4-FFF2-40B4-BE49-F238E27FC236}">
              <a16:creationId xmlns:a16="http://schemas.microsoft.com/office/drawing/2014/main" id="{E98923E8-B320-9CC7-71CF-FB32156D1389}"/>
            </a:ext>
          </a:extLst>
        </xdr:cNvPr>
        <xdr:cNvSpPr txBox="1"/>
      </xdr:nvSpPr>
      <xdr:spPr>
        <a:xfrm>
          <a:off x="454799" y="1143078"/>
          <a:ext cx="647700" cy="358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1F5C66-3582-4519-9B48-3D7EB20D301C}" type="TxLink">
            <a:rPr lang="en-US" sz="1800" b="1" i="0" u="none" strike="noStrike">
              <a:solidFill>
                <a:schemeClr val="bg1"/>
              </a:solidFill>
              <a:latin typeface="Aptos Narrow"/>
            </a:rPr>
            <a:pPr/>
            <a:t>606</a:t>
          </a:fld>
          <a:endParaRPr lang="en-GB" sz="1800" b="1">
            <a:solidFill>
              <a:schemeClr val="bg1"/>
            </a:solidFill>
          </a:endParaRPr>
        </a:p>
      </xdr:txBody>
    </xdr:sp>
    <xdr:clientData/>
  </xdr:twoCellAnchor>
  <xdr:twoCellAnchor>
    <xdr:from>
      <xdr:col>5</xdr:col>
      <xdr:colOff>123825</xdr:colOff>
      <xdr:row>5</xdr:row>
      <xdr:rowOff>158441</xdr:rowOff>
    </xdr:from>
    <xdr:to>
      <xdr:col>5</xdr:col>
      <xdr:colOff>867087</xdr:colOff>
      <xdr:row>7</xdr:row>
      <xdr:rowOff>126768</xdr:rowOff>
    </xdr:to>
    <xdr:sp macro="" textlink="$F$18">
      <xdr:nvSpPr>
        <xdr:cNvPr id="46" name="TextBox 45">
          <a:extLst>
            <a:ext uri="{FF2B5EF4-FFF2-40B4-BE49-F238E27FC236}">
              <a16:creationId xmlns:a16="http://schemas.microsoft.com/office/drawing/2014/main" id="{F5C9B3B8-F0E2-637F-70F3-1D126FFF2CD2}"/>
            </a:ext>
          </a:extLst>
        </xdr:cNvPr>
        <xdr:cNvSpPr txBox="1"/>
      </xdr:nvSpPr>
      <xdr:spPr>
        <a:xfrm>
          <a:off x="7782545" y="1126429"/>
          <a:ext cx="743262" cy="355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1A30AF-44D4-4ADC-B8FA-8C11A78A1666}" type="TxLink">
            <a:rPr lang="en-US" sz="1800" b="1" i="0" u="none" strike="noStrike">
              <a:solidFill>
                <a:schemeClr val="bg1"/>
              </a:solidFill>
              <a:latin typeface="Aptos Narrow"/>
            </a:rPr>
            <a:pPr/>
            <a:t>20</a:t>
          </a:fld>
          <a:endParaRPr lang="en-GB" sz="1800" b="1">
            <a:solidFill>
              <a:schemeClr val="bg1"/>
            </a:solidFill>
          </a:endParaRPr>
        </a:p>
      </xdr:txBody>
    </xdr:sp>
    <xdr:clientData/>
  </xdr:twoCellAnchor>
  <xdr:twoCellAnchor>
    <xdr:from>
      <xdr:col>6</xdr:col>
      <xdr:colOff>57151</xdr:colOff>
      <xdr:row>2</xdr:row>
      <xdr:rowOff>104775</xdr:rowOff>
    </xdr:from>
    <xdr:to>
      <xdr:col>11</xdr:col>
      <xdr:colOff>152401</xdr:colOff>
      <xdr:row>13</xdr:row>
      <xdr:rowOff>123825</xdr:rowOff>
    </xdr:to>
    <xdr:sp macro="" textlink="">
      <xdr:nvSpPr>
        <xdr:cNvPr id="9" name="Rectangle: Rounded Corners 8">
          <a:extLst>
            <a:ext uri="{FF2B5EF4-FFF2-40B4-BE49-F238E27FC236}">
              <a16:creationId xmlns:a16="http://schemas.microsoft.com/office/drawing/2014/main" id="{F844B857-8404-4AB2-BA87-81566AD75451}"/>
            </a:ext>
          </a:extLst>
        </xdr:cNvPr>
        <xdr:cNvSpPr/>
      </xdr:nvSpPr>
      <xdr:spPr>
        <a:xfrm>
          <a:off x="9153526" y="485775"/>
          <a:ext cx="3143250" cy="211455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6</xdr:col>
          <xdr:colOff>267487</xdr:colOff>
          <xdr:row>2</xdr:row>
          <xdr:rowOff>183421</xdr:rowOff>
        </xdr:from>
        <xdr:to>
          <xdr:col>7</xdr:col>
          <xdr:colOff>524662</xdr:colOff>
          <xdr:row>4</xdr:row>
          <xdr:rowOff>38798</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515136</xdr:colOff>
          <xdr:row>2</xdr:row>
          <xdr:rowOff>182635</xdr:rowOff>
        </xdr:from>
        <xdr:to>
          <xdr:col>9</xdr:col>
          <xdr:colOff>298845</xdr:colOff>
          <xdr:row>4</xdr:row>
          <xdr:rowOff>110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83B43E30-05CC-405C-7ABD-6D3F5A56B0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xdr:row>
          <xdr:rowOff>156420</xdr:rowOff>
        </xdr:from>
        <xdr:to>
          <xdr:col>10</xdr:col>
          <xdr:colOff>405146</xdr:colOff>
          <xdr:row>3</xdr:row>
          <xdr:rowOff>173867</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B836FF00-4A55-91E3-1449-61D1E19106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Transactions</a:t>
              </a:r>
            </a:p>
          </xdr:txBody>
        </xdr:sp>
        <xdr:clientData/>
      </xdr:twoCellAnchor>
    </mc:Choice>
    <mc:Fallback/>
  </mc:AlternateContent>
  <xdr:twoCellAnchor>
    <xdr:from>
      <xdr:col>6</xdr:col>
      <xdr:colOff>279635</xdr:colOff>
      <xdr:row>5</xdr:row>
      <xdr:rowOff>8738</xdr:rowOff>
    </xdr:from>
    <xdr:to>
      <xdr:col>11</xdr:col>
      <xdr:colOff>122340</xdr:colOff>
      <xdr:row>12</xdr:row>
      <xdr:rowOff>87385</xdr:rowOff>
    </xdr:to>
    <xdr:graphicFrame macro="">
      <xdr:nvGraphicFramePr>
        <xdr:cNvPr id="16" name="Chart 15">
          <a:extLst>
            <a:ext uri="{FF2B5EF4-FFF2-40B4-BE49-F238E27FC236}">
              <a16:creationId xmlns:a16="http://schemas.microsoft.com/office/drawing/2014/main" id="{311C4C90-9B7A-4E5D-A168-FA37C8EF6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371706</xdr:colOff>
      <xdr:row>10</xdr:row>
      <xdr:rowOff>139389</xdr:rowOff>
    </xdr:from>
    <xdr:to>
      <xdr:col>11</xdr:col>
      <xdr:colOff>2610</xdr:colOff>
      <xdr:row>12</xdr:row>
      <xdr:rowOff>154877</xdr:rowOff>
    </xdr:to>
    <mc:AlternateContent xmlns:mc="http://schemas.openxmlformats.org/markup-compatibility/2006">
      <mc:Choice xmlns:a14="http://schemas.microsoft.com/office/drawing/2010/main" Requires="a14">
        <xdr:graphicFrame macro="">
          <xdr:nvGraphicFramePr>
            <xdr:cNvPr id="24" name="Year">
              <a:extLst>
                <a:ext uri="{FF2B5EF4-FFF2-40B4-BE49-F238E27FC236}">
                  <a16:creationId xmlns:a16="http://schemas.microsoft.com/office/drawing/2014/main" id="{9F571DFD-62EE-42B3-BFB9-9783CD66A39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81756" y="2025528"/>
              <a:ext cx="2695879" cy="3927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230525</xdr:colOff>
      <xdr:row>3</xdr:row>
      <xdr:rowOff>155280</xdr:rowOff>
    </xdr:from>
    <xdr:to>
      <xdr:col>7</xdr:col>
      <xdr:colOff>547266</xdr:colOff>
      <xdr:row>5</xdr:row>
      <xdr:rowOff>115481</xdr:rowOff>
    </xdr:to>
    <xdr:sp macro="" textlink="Analysis!C34">
      <xdr:nvSpPr>
        <xdr:cNvPr id="26" name="TextBox 25">
          <a:extLst>
            <a:ext uri="{FF2B5EF4-FFF2-40B4-BE49-F238E27FC236}">
              <a16:creationId xmlns:a16="http://schemas.microsoft.com/office/drawing/2014/main" id="{35FD2C7F-E947-B061-5EB3-A0CD0B48CD98}"/>
            </a:ext>
          </a:extLst>
        </xdr:cNvPr>
        <xdr:cNvSpPr txBox="1"/>
      </xdr:nvSpPr>
      <xdr:spPr>
        <a:xfrm>
          <a:off x="9336075" y="732023"/>
          <a:ext cx="928439" cy="344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08D35B-6421-4BC4-81EF-C239808DE389}" type="TxLink">
            <a:rPr lang="en-US" sz="1600" b="1" i="0" u="none" strike="noStrike">
              <a:solidFill>
                <a:srgbClr val="59C7E9"/>
              </a:solidFill>
              <a:latin typeface="Aptos Narrow"/>
            </a:rPr>
            <a:t>94.75%</a:t>
          </a:fld>
          <a:endParaRPr lang="en-GB" sz="1600" b="1">
            <a:solidFill>
              <a:srgbClr val="59C7E9"/>
            </a:solidFill>
          </a:endParaRPr>
        </a:p>
      </xdr:txBody>
    </xdr:sp>
    <xdr:clientData/>
  </xdr:twoCellAnchor>
  <xdr:twoCellAnchor>
    <xdr:from>
      <xdr:col>6</xdr:col>
      <xdr:colOff>236609</xdr:colOff>
      <xdr:row>4</xdr:row>
      <xdr:rowOff>171301</xdr:rowOff>
    </xdr:from>
    <xdr:to>
      <xdr:col>10</xdr:col>
      <xdr:colOff>314085</xdr:colOff>
      <xdr:row>6</xdr:row>
      <xdr:rowOff>116612</xdr:rowOff>
    </xdr:to>
    <xdr:sp macro="" textlink="Analysis!F33">
      <xdr:nvSpPr>
        <xdr:cNvPr id="28" name="TextBox 27">
          <a:extLst>
            <a:ext uri="{FF2B5EF4-FFF2-40B4-BE49-F238E27FC236}">
              <a16:creationId xmlns:a16="http://schemas.microsoft.com/office/drawing/2014/main" id="{87780166-DE7A-11A7-B982-C40098E20BA0}"/>
            </a:ext>
          </a:extLst>
        </xdr:cNvPr>
        <xdr:cNvSpPr txBox="1"/>
      </xdr:nvSpPr>
      <xdr:spPr>
        <a:xfrm>
          <a:off x="9342159" y="940292"/>
          <a:ext cx="2524265" cy="329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758E3C-AFE6-4A0A-A565-12DE09C357EA}" type="TxLink">
            <a:rPr lang="en-US" sz="1000" b="0" i="0" u="none" strike="noStrike">
              <a:solidFill>
                <a:schemeClr val="tx1">
                  <a:lumMod val="75000"/>
                  <a:lumOff val="25000"/>
                </a:schemeClr>
              </a:solidFill>
              <a:latin typeface="Aptos Narrow"/>
            </a:rPr>
            <a:t>of transctions came from highlited years</a:t>
          </a:fld>
          <a:endParaRPr lang="en-GB" sz="1000">
            <a:solidFill>
              <a:schemeClr val="tx1">
                <a:lumMod val="75000"/>
                <a:lumOff val="25000"/>
              </a:schemeClr>
            </a:solidFill>
          </a:endParaRPr>
        </a:p>
      </xdr:txBody>
    </xdr:sp>
    <xdr:clientData/>
  </xdr:twoCellAnchor>
  <xdr:twoCellAnchor>
    <xdr:from>
      <xdr:col>6</xdr:col>
      <xdr:colOff>246202</xdr:colOff>
      <xdr:row>5</xdr:row>
      <xdr:rowOff>159165</xdr:rowOff>
    </xdr:from>
    <xdr:to>
      <xdr:col>7</xdr:col>
      <xdr:colOff>562943</xdr:colOff>
      <xdr:row>7</xdr:row>
      <xdr:rowOff>119368</xdr:rowOff>
    </xdr:to>
    <xdr:sp macro="" textlink="Analysis!C33">
      <xdr:nvSpPr>
        <xdr:cNvPr id="30" name="TextBox 29">
          <a:extLst>
            <a:ext uri="{FF2B5EF4-FFF2-40B4-BE49-F238E27FC236}">
              <a16:creationId xmlns:a16="http://schemas.microsoft.com/office/drawing/2014/main" id="{D723989E-4757-0A37-4AB2-2C2773608698}"/>
            </a:ext>
          </a:extLst>
        </xdr:cNvPr>
        <xdr:cNvSpPr txBox="1"/>
      </xdr:nvSpPr>
      <xdr:spPr>
        <a:xfrm>
          <a:off x="9351752" y="1120404"/>
          <a:ext cx="928439" cy="344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6353C6-31CC-4CC0-BDD2-7AB85C2A0F36}" type="TxLink">
            <a:rPr lang="en-US" sz="1050" b="0" i="0" u="none" strike="noStrike">
              <a:solidFill>
                <a:schemeClr val="tx1">
                  <a:lumMod val="75000"/>
                  <a:lumOff val="25000"/>
                </a:schemeClr>
              </a:solidFill>
              <a:latin typeface="Aptos Narrow"/>
            </a:rPr>
            <a:t>5,266</a:t>
          </a:fld>
          <a:endParaRPr lang="en-GB" sz="1050" b="1">
            <a:solidFill>
              <a:schemeClr val="tx1">
                <a:lumMod val="75000"/>
                <a:lumOff val="25000"/>
              </a:schemeClr>
            </a:solidFill>
          </a:endParaRPr>
        </a:p>
      </xdr:txBody>
    </xdr:sp>
    <xdr:clientData/>
  </xdr:twoCellAnchor>
  <xdr:twoCellAnchor>
    <xdr:from>
      <xdr:col>6</xdr:col>
      <xdr:colOff>240454</xdr:colOff>
      <xdr:row>6</xdr:row>
      <xdr:rowOff>113977</xdr:rowOff>
    </xdr:from>
    <xdr:to>
      <xdr:col>7</xdr:col>
      <xdr:colOff>594220</xdr:colOff>
      <xdr:row>8</xdr:row>
      <xdr:rowOff>8738</xdr:rowOff>
    </xdr:to>
    <xdr:sp macro="" textlink="Analysis!F35">
      <xdr:nvSpPr>
        <xdr:cNvPr id="31" name="TextBox 30">
          <a:extLst>
            <a:ext uri="{FF2B5EF4-FFF2-40B4-BE49-F238E27FC236}">
              <a16:creationId xmlns:a16="http://schemas.microsoft.com/office/drawing/2014/main" id="{D009D6B0-FF1B-080D-E04C-52617A0F5F2C}"/>
            </a:ext>
          </a:extLst>
        </xdr:cNvPr>
        <xdr:cNvSpPr txBox="1"/>
      </xdr:nvSpPr>
      <xdr:spPr>
        <a:xfrm>
          <a:off x="9346004" y="1267463"/>
          <a:ext cx="965464" cy="279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01286-296D-45E2-BC2B-503A2C9484EB}" type="TxLink">
            <a:rPr lang="en-US" sz="800" b="0" i="0" u="none" strike="noStrike">
              <a:solidFill>
                <a:srgbClr val="000000"/>
              </a:solidFill>
              <a:latin typeface="Aptos Narrow"/>
            </a:rPr>
            <a:t>Avg transctions</a:t>
          </a:fld>
          <a:endParaRPr lang="en-GB" sz="800" b="1">
            <a:solidFill>
              <a:schemeClr val="tx1">
                <a:lumMod val="75000"/>
                <a:lumOff val="25000"/>
              </a:schemeClr>
            </a:solidFill>
          </a:endParaRPr>
        </a:p>
      </xdr:txBody>
    </xdr:sp>
    <xdr:clientData/>
  </xdr:twoCellAnchor>
  <xdr:twoCellAnchor>
    <xdr:from>
      <xdr:col>1</xdr:col>
      <xdr:colOff>684076</xdr:colOff>
      <xdr:row>10</xdr:row>
      <xdr:rowOff>94777</xdr:rowOff>
    </xdr:from>
    <xdr:to>
      <xdr:col>1</xdr:col>
      <xdr:colOff>1260524</xdr:colOff>
      <xdr:row>11</xdr:row>
      <xdr:rowOff>105485</xdr:rowOff>
    </xdr:to>
    <xdr:sp macro="" textlink="">
      <xdr:nvSpPr>
        <xdr:cNvPr id="34" name="Rectangle: Rounded Corners 33">
          <a:extLst>
            <a:ext uri="{FF2B5EF4-FFF2-40B4-BE49-F238E27FC236}">
              <a16:creationId xmlns:a16="http://schemas.microsoft.com/office/drawing/2014/main" id="{10CA6353-054B-418A-B5B7-310AA2BC2B02}"/>
            </a:ext>
          </a:extLst>
        </xdr:cNvPr>
        <xdr:cNvSpPr/>
      </xdr:nvSpPr>
      <xdr:spPr>
        <a:xfrm>
          <a:off x="1968292" y="1990299"/>
          <a:ext cx="576448" cy="200261"/>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282036</xdr:colOff>
      <xdr:row>10</xdr:row>
      <xdr:rowOff>95535</xdr:rowOff>
    </xdr:from>
    <xdr:to>
      <xdr:col>2</xdr:col>
      <xdr:colOff>858484</xdr:colOff>
      <xdr:row>11</xdr:row>
      <xdr:rowOff>106243</xdr:rowOff>
    </xdr:to>
    <xdr:sp macro="" textlink="">
      <xdr:nvSpPr>
        <xdr:cNvPr id="39" name="Rectangle: Rounded Corners 38">
          <a:extLst>
            <a:ext uri="{FF2B5EF4-FFF2-40B4-BE49-F238E27FC236}">
              <a16:creationId xmlns:a16="http://schemas.microsoft.com/office/drawing/2014/main" id="{9FDC27B6-BF4D-9283-C264-2E81C13BBC8F}"/>
            </a:ext>
          </a:extLst>
        </xdr:cNvPr>
        <xdr:cNvSpPr/>
      </xdr:nvSpPr>
      <xdr:spPr>
        <a:xfrm>
          <a:off x="3433342" y="1991057"/>
          <a:ext cx="576448" cy="200261"/>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268577</xdr:colOff>
      <xdr:row>10</xdr:row>
      <xdr:rowOff>96293</xdr:rowOff>
    </xdr:from>
    <xdr:to>
      <xdr:col>3</xdr:col>
      <xdr:colOff>845025</xdr:colOff>
      <xdr:row>11</xdr:row>
      <xdr:rowOff>107001</xdr:rowOff>
    </xdr:to>
    <xdr:sp macro="" textlink="">
      <xdr:nvSpPr>
        <xdr:cNvPr id="43" name="Rectangle: Rounded Corners 42">
          <a:extLst>
            <a:ext uri="{FF2B5EF4-FFF2-40B4-BE49-F238E27FC236}">
              <a16:creationId xmlns:a16="http://schemas.microsoft.com/office/drawing/2014/main" id="{EE5234D0-B09E-B705-D4EA-D7F9A9B1DB59}"/>
            </a:ext>
          </a:extLst>
        </xdr:cNvPr>
        <xdr:cNvSpPr/>
      </xdr:nvSpPr>
      <xdr:spPr>
        <a:xfrm>
          <a:off x="4917346" y="1991815"/>
          <a:ext cx="576448" cy="200261"/>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146127</xdr:colOff>
      <xdr:row>10</xdr:row>
      <xdr:rowOff>97051</xdr:rowOff>
    </xdr:from>
    <xdr:to>
      <xdr:col>4</xdr:col>
      <xdr:colOff>722575</xdr:colOff>
      <xdr:row>11</xdr:row>
      <xdr:rowOff>107759</xdr:rowOff>
    </xdr:to>
    <xdr:sp macro="" textlink="">
      <xdr:nvSpPr>
        <xdr:cNvPr id="47" name="Rectangle: Rounded Corners 46">
          <a:extLst>
            <a:ext uri="{FF2B5EF4-FFF2-40B4-BE49-F238E27FC236}">
              <a16:creationId xmlns:a16="http://schemas.microsoft.com/office/drawing/2014/main" id="{46C265AB-86BE-C79D-AF83-7C695E2A9F64}"/>
            </a:ext>
          </a:extLst>
        </xdr:cNvPr>
        <xdr:cNvSpPr/>
      </xdr:nvSpPr>
      <xdr:spPr>
        <a:xfrm>
          <a:off x="6358702" y="1992573"/>
          <a:ext cx="576448" cy="200261"/>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729776</xdr:colOff>
      <xdr:row>10</xdr:row>
      <xdr:rowOff>90038</xdr:rowOff>
    </xdr:from>
    <xdr:to>
      <xdr:col>1</xdr:col>
      <xdr:colOff>1355183</xdr:colOff>
      <xdr:row>11</xdr:row>
      <xdr:rowOff>108993</xdr:rowOff>
    </xdr:to>
    <xdr:sp macro="" textlink="Analysis!AB32">
      <xdr:nvSpPr>
        <xdr:cNvPr id="48" name="TextBox 47">
          <a:extLst>
            <a:ext uri="{FF2B5EF4-FFF2-40B4-BE49-F238E27FC236}">
              <a16:creationId xmlns:a16="http://schemas.microsoft.com/office/drawing/2014/main" id="{0E75CFA2-A125-6847-8945-C8961A423BA2}"/>
            </a:ext>
          </a:extLst>
        </xdr:cNvPr>
        <xdr:cNvSpPr txBox="1"/>
      </xdr:nvSpPr>
      <xdr:spPr>
        <a:xfrm>
          <a:off x="2015264" y="2026014"/>
          <a:ext cx="625407"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2709D3-D7C2-4E22-8A5F-DB0A6D3AD084}" type="TxLink">
            <a:rPr lang="en-US" sz="900" b="1" i="0" u="none" strike="noStrike">
              <a:solidFill>
                <a:schemeClr val="tx1">
                  <a:lumMod val="95000"/>
                  <a:lumOff val="5000"/>
                </a:schemeClr>
              </a:solidFill>
              <a:latin typeface="Aptos Narrow"/>
            </a:rPr>
            <a:t>+3.16%</a:t>
          </a:fld>
          <a:endParaRPr lang="en-GB" sz="900" b="1">
            <a:solidFill>
              <a:schemeClr val="tx1">
                <a:lumMod val="95000"/>
                <a:lumOff val="5000"/>
              </a:schemeClr>
            </a:solidFill>
          </a:endParaRPr>
        </a:p>
      </xdr:txBody>
    </xdr:sp>
    <xdr:clientData/>
  </xdr:twoCellAnchor>
  <xdr:twoCellAnchor>
    <xdr:from>
      <xdr:col>2</xdr:col>
      <xdr:colOff>287743</xdr:colOff>
      <xdr:row>10</xdr:row>
      <xdr:rowOff>67565</xdr:rowOff>
    </xdr:from>
    <xdr:to>
      <xdr:col>2</xdr:col>
      <xdr:colOff>929268</xdr:colOff>
      <xdr:row>11</xdr:row>
      <xdr:rowOff>86520</xdr:rowOff>
    </xdr:to>
    <xdr:sp macro="" textlink="Analysis!AB24">
      <xdr:nvSpPr>
        <xdr:cNvPr id="49" name="TextBox 48">
          <a:extLst>
            <a:ext uri="{FF2B5EF4-FFF2-40B4-BE49-F238E27FC236}">
              <a16:creationId xmlns:a16="http://schemas.microsoft.com/office/drawing/2014/main" id="{A6A4682F-C8B3-4593-B475-B5FFA333E2C2}"/>
            </a:ext>
          </a:extLst>
        </xdr:cNvPr>
        <xdr:cNvSpPr txBox="1"/>
      </xdr:nvSpPr>
      <xdr:spPr>
        <a:xfrm>
          <a:off x="3439511" y="2003541"/>
          <a:ext cx="641525"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058A9-BA9C-4E37-B7EF-B7E5A7A8C3B3}" type="TxLink">
            <a:rPr lang="en-US" sz="1100" b="1" i="0" u="none" strike="noStrike">
              <a:solidFill>
                <a:schemeClr val="tx1">
                  <a:lumMod val="95000"/>
                  <a:lumOff val="5000"/>
                </a:schemeClr>
              </a:solidFill>
              <a:latin typeface="Aptos Narrow"/>
            </a:rPr>
            <a:t>+5.61%</a:t>
          </a:fld>
          <a:endParaRPr lang="en-GB" sz="900" b="1">
            <a:solidFill>
              <a:schemeClr val="tx1">
                <a:lumMod val="95000"/>
                <a:lumOff val="5000"/>
              </a:schemeClr>
            </a:solidFill>
          </a:endParaRPr>
        </a:p>
      </xdr:txBody>
    </xdr:sp>
    <xdr:clientData/>
  </xdr:twoCellAnchor>
  <xdr:twoCellAnchor>
    <xdr:from>
      <xdr:col>3</xdr:col>
      <xdr:colOff>277753</xdr:colOff>
      <xdr:row>10</xdr:row>
      <xdr:rowOff>66590</xdr:rowOff>
    </xdr:from>
    <xdr:to>
      <xdr:col>3</xdr:col>
      <xdr:colOff>875061</xdr:colOff>
      <xdr:row>11</xdr:row>
      <xdr:rowOff>85545</xdr:rowOff>
    </xdr:to>
    <xdr:sp macro="" textlink="Analysis!AB16">
      <xdr:nvSpPr>
        <xdr:cNvPr id="50" name="TextBox 49">
          <a:extLst>
            <a:ext uri="{FF2B5EF4-FFF2-40B4-BE49-F238E27FC236}">
              <a16:creationId xmlns:a16="http://schemas.microsoft.com/office/drawing/2014/main" id="{9364B7A5-AC8A-4A9F-7364-879B30ED8113}"/>
            </a:ext>
          </a:extLst>
        </xdr:cNvPr>
        <xdr:cNvSpPr txBox="1"/>
      </xdr:nvSpPr>
      <xdr:spPr>
        <a:xfrm>
          <a:off x="4924094" y="2002566"/>
          <a:ext cx="597308"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CCCB27-7DC1-40AC-9ACB-58D2954B0018}" type="TxLink">
            <a:rPr lang="en-US" sz="1100" b="1" i="0" u="none" strike="noStrike">
              <a:solidFill>
                <a:schemeClr val="tx1">
                  <a:lumMod val="95000"/>
                  <a:lumOff val="5000"/>
                </a:schemeClr>
              </a:solidFill>
              <a:latin typeface="Aptos Narrow"/>
            </a:rPr>
            <a:t>+6.05%</a:t>
          </a:fld>
          <a:endParaRPr lang="en-GB" sz="900" b="1">
            <a:solidFill>
              <a:schemeClr val="tx1">
                <a:lumMod val="95000"/>
                <a:lumOff val="5000"/>
              </a:schemeClr>
            </a:solidFill>
          </a:endParaRPr>
        </a:p>
      </xdr:txBody>
    </xdr:sp>
    <xdr:clientData/>
  </xdr:twoCellAnchor>
  <xdr:twoCellAnchor>
    <xdr:from>
      <xdr:col>4</xdr:col>
      <xdr:colOff>171253</xdr:colOff>
      <xdr:row>10</xdr:row>
      <xdr:rowOff>64341</xdr:rowOff>
    </xdr:from>
    <xdr:to>
      <xdr:col>4</xdr:col>
      <xdr:colOff>875061</xdr:colOff>
      <xdr:row>11</xdr:row>
      <xdr:rowOff>83296</xdr:rowOff>
    </xdr:to>
    <xdr:sp macro="" textlink="Analysis!AB48">
      <xdr:nvSpPr>
        <xdr:cNvPr id="51" name="TextBox 50">
          <a:extLst>
            <a:ext uri="{FF2B5EF4-FFF2-40B4-BE49-F238E27FC236}">
              <a16:creationId xmlns:a16="http://schemas.microsoft.com/office/drawing/2014/main" id="{76E4F094-8EFC-5F58-F01E-7005F187115A}"/>
            </a:ext>
          </a:extLst>
        </xdr:cNvPr>
        <xdr:cNvSpPr txBox="1"/>
      </xdr:nvSpPr>
      <xdr:spPr>
        <a:xfrm>
          <a:off x="6381863" y="2000317"/>
          <a:ext cx="703808"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CB4913-E2AC-494A-AA01-DCFE81BCF58C}" type="TxLink">
            <a:rPr lang="en-US" sz="1100" b="1" i="0" u="none" strike="noStrike">
              <a:solidFill>
                <a:schemeClr val="tx1">
                  <a:lumMod val="95000"/>
                  <a:lumOff val="5000"/>
                </a:schemeClr>
              </a:solidFill>
              <a:latin typeface="Aptos Narrow"/>
            </a:rPr>
            <a:t>+0.44%</a:t>
          </a:fld>
          <a:endParaRPr lang="en-GB" sz="900" b="1">
            <a:solidFill>
              <a:schemeClr val="tx1">
                <a:lumMod val="95000"/>
                <a:lumOff val="5000"/>
              </a:schemeClr>
            </a:solidFill>
          </a:endParaRPr>
        </a:p>
      </xdr:txBody>
    </xdr:sp>
    <xdr:clientData/>
  </xdr:twoCellAnchor>
  <xdr:twoCellAnchor>
    <xdr:from>
      <xdr:col>5</xdr:col>
      <xdr:colOff>139765</xdr:colOff>
      <xdr:row>7</xdr:row>
      <xdr:rowOff>56085</xdr:rowOff>
    </xdr:from>
    <xdr:to>
      <xdr:col>5</xdr:col>
      <xdr:colOff>844085</xdr:colOff>
      <xdr:row>8</xdr:row>
      <xdr:rowOff>75040</xdr:rowOff>
    </xdr:to>
    <xdr:sp macro="" textlink="Analysis!AB56">
      <xdr:nvSpPr>
        <xdr:cNvPr id="52" name="TextBox 51">
          <a:extLst>
            <a:ext uri="{FF2B5EF4-FFF2-40B4-BE49-F238E27FC236}">
              <a16:creationId xmlns:a16="http://schemas.microsoft.com/office/drawing/2014/main" id="{CF984D2F-6829-246B-A339-AC248C8FB855}"/>
            </a:ext>
          </a:extLst>
        </xdr:cNvPr>
        <xdr:cNvSpPr txBox="1"/>
      </xdr:nvSpPr>
      <xdr:spPr>
        <a:xfrm>
          <a:off x="7798485" y="1411268"/>
          <a:ext cx="704320"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C00816-1E54-47CE-8861-E60E5DEAC1F6}" type="TxLink">
            <a:rPr lang="en-US" sz="1000" b="0" i="0" u="none" strike="noStrike">
              <a:solidFill>
                <a:srgbClr val="FFFFFF"/>
              </a:solidFill>
              <a:latin typeface="Aptos Narrow"/>
            </a:rPr>
            <a:t>+28.60%</a:t>
          </a:fld>
          <a:endParaRPr lang="en-GB" sz="1000">
            <a:solidFill>
              <a:srgbClr val="C00000"/>
            </a:solidFill>
          </a:endParaRPr>
        </a:p>
      </xdr:txBody>
    </xdr:sp>
    <xdr:clientData/>
  </xdr:twoCellAnchor>
  <xdr:twoCellAnchor>
    <xdr:from>
      <xdr:col>0</xdr:col>
      <xdr:colOff>454787</xdr:colOff>
      <xdr:row>7</xdr:row>
      <xdr:rowOff>53605</xdr:rowOff>
    </xdr:from>
    <xdr:to>
      <xdr:col>0</xdr:col>
      <xdr:colOff>1068658</xdr:colOff>
      <xdr:row>8</xdr:row>
      <xdr:rowOff>72560</xdr:rowOff>
    </xdr:to>
    <xdr:sp macro="" textlink="Analysis!AB40">
      <xdr:nvSpPr>
        <xdr:cNvPr id="53" name="TextBox 52">
          <a:extLst>
            <a:ext uri="{FF2B5EF4-FFF2-40B4-BE49-F238E27FC236}">
              <a16:creationId xmlns:a16="http://schemas.microsoft.com/office/drawing/2014/main" id="{38B5C608-984C-05A5-CDFE-A0A7B9F4A9D2}"/>
            </a:ext>
          </a:extLst>
        </xdr:cNvPr>
        <xdr:cNvSpPr txBox="1"/>
      </xdr:nvSpPr>
      <xdr:spPr>
        <a:xfrm>
          <a:off x="454787" y="1408788"/>
          <a:ext cx="613871" cy="212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0E2FE9-AA8E-4C0D-8F59-7940AD3D2EB4}" type="TxLink">
            <a:rPr lang="en-US" sz="1000" b="0" i="0" u="none" strike="noStrike">
              <a:solidFill>
                <a:srgbClr val="FFFFFF"/>
              </a:solidFill>
              <a:latin typeface="Aptos Narrow"/>
            </a:rPr>
            <a:t>+29.90%</a:t>
          </a:fld>
          <a:endParaRPr lang="en-GB" sz="1000">
            <a:solidFill>
              <a:srgbClr val="C00000"/>
            </a:solidFill>
          </a:endParaRPr>
        </a:p>
      </xdr:txBody>
    </xdr:sp>
    <xdr:clientData/>
  </xdr:twoCellAnchor>
  <xdr:twoCellAnchor editAs="oneCell">
    <xdr:from>
      <xdr:col>3</xdr:col>
      <xdr:colOff>761992</xdr:colOff>
      <xdr:row>15</xdr:row>
      <xdr:rowOff>186808</xdr:rowOff>
    </xdr:from>
    <xdr:to>
      <xdr:col>4</xdr:col>
      <xdr:colOff>999422</xdr:colOff>
      <xdr:row>25</xdr:row>
      <xdr:rowOff>1319</xdr:rowOff>
    </xdr:to>
    <mc:AlternateContent xmlns:mc="http://schemas.openxmlformats.org/markup-compatibility/2006">
      <mc:Choice xmlns:a14="http://schemas.microsoft.com/office/drawing/2010/main" Requires="a14">
        <xdr:graphicFrame macro="">
          <xdr:nvGraphicFramePr>
            <xdr:cNvPr id="54" name="Month Name">
              <a:extLst>
                <a:ext uri="{FF2B5EF4-FFF2-40B4-BE49-F238E27FC236}">
                  <a16:creationId xmlns:a16="http://schemas.microsoft.com/office/drawing/2014/main" id="{4E1CDE39-29A4-4363-AD92-B2E7088F8C7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411324" y="3016016"/>
              <a:ext cx="1802925" cy="13234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235767</xdr:colOff>
      <xdr:row>19</xdr:row>
      <xdr:rowOff>113822</xdr:rowOff>
    </xdr:from>
    <xdr:to>
      <xdr:col>3</xdr:col>
      <xdr:colOff>462104</xdr:colOff>
      <xdr:row>25</xdr:row>
      <xdr:rowOff>113820</xdr:rowOff>
    </xdr:to>
    <xdr:graphicFrame macro="">
      <xdr:nvGraphicFramePr>
        <xdr:cNvPr id="55" name="Chart 54">
          <a:extLst>
            <a:ext uri="{FF2B5EF4-FFF2-40B4-BE49-F238E27FC236}">
              <a16:creationId xmlns:a16="http://schemas.microsoft.com/office/drawing/2014/main" id="{FAE3886A-3262-4DD7-B462-B0E71DCCF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457025</xdr:colOff>
      <xdr:row>15</xdr:row>
      <xdr:rowOff>38092</xdr:rowOff>
    </xdr:from>
    <xdr:to>
      <xdr:col>0</xdr:col>
      <xdr:colOff>1033473</xdr:colOff>
      <xdr:row>16</xdr:row>
      <xdr:rowOff>48799</xdr:rowOff>
    </xdr:to>
    <xdr:sp macro="" textlink="">
      <xdr:nvSpPr>
        <xdr:cNvPr id="59" name="Rectangle: Rounded Corners 58">
          <a:extLst>
            <a:ext uri="{FF2B5EF4-FFF2-40B4-BE49-F238E27FC236}">
              <a16:creationId xmlns:a16="http://schemas.microsoft.com/office/drawing/2014/main" id="{DD1331D0-CEAD-4F3C-DC3E-955A1672F400}"/>
            </a:ext>
          </a:extLst>
        </xdr:cNvPr>
        <xdr:cNvSpPr/>
      </xdr:nvSpPr>
      <xdr:spPr>
        <a:xfrm>
          <a:off x="457025" y="2923745"/>
          <a:ext cx="576448" cy="203084"/>
        </a:xfrm>
        <a:prstGeom prst="roundRect">
          <a:avLst>
            <a:gd name="adj" fmla="val 11283"/>
          </a:avLst>
        </a:prstGeom>
        <a:solidFill>
          <a:srgbClr val="59C7E9"/>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442185</xdr:colOff>
      <xdr:row>15</xdr:row>
      <xdr:rowOff>8252</xdr:rowOff>
    </xdr:from>
    <xdr:to>
      <xdr:col>0</xdr:col>
      <xdr:colOff>1074495</xdr:colOff>
      <xdr:row>16</xdr:row>
      <xdr:rowOff>27206</xdr:rowOff>
    </xdr:to>
    <xdr:sp macro="" textlink="Analysis!G48">
      <xdr:nvSpPr>
        <xdr:cNvPr id="58" name="TextBox 57">
          <a:extLst>
            <a:ext uri="{FF2B5EF4-FFF2-40B4-BE49-F238E27FC236}">
              <a16:creationId xmlns:a16="http://schemas.microsoft.com/office/drawing/2014/main" id="{00BE008E-394A-2FA4-BE95-52585DE5DE98}"/>
            </a:ext>
          </a:extLst>
        </xdr:cNvPr>
        <xdr:cNvSpPr txBox="1"/>
      </xdr:nvSpPr>
      <xdr:spPr>
        <a:xfrm>
          <a:off x="442185" y="2893905"/>
          <a:ext cx="632310" cy="211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51D08F-FDEB-4166-99A6-8F45B0173BF5}" type="TxLink">
            <a:rPr lang="en-US" sz="1100" b="0" i="0" u="none" strike="noStrike">
              <a:solidFill>
                <a:srgbClr val="FFFFFF"/>
              </a:solidFill>
              <a:latin typeface="Aptos Narrow"/>
            </a:rPr>
            <a:t>in 2006</a:t>
          </a:fld>
          <a:endParaRPr lang="en-GB" sz="900" b="1">
            <a:solidFill>
              <a:schemeClr val="tx1">
                <a:lumMod val="95000"/>
                <a:lumOff val="5000"/>
              </a:schemeClr>
            </a:solidFill>
          </a:endParaRPr>
        </a:p>
      </xdr:txBody>
    </xdr:sp>
    <xdr:clientData/>
  </xdr:twoCellAnchor>
  <xdr:twoCellAnchor>
    <xdr:from>
      <xdr:col>0</xdr:col>
      <xdr:colOff>1136771</xdr:colOff>
      <xdr:row>15</xdr:row>
      <xdr:rowOff>38092</xdr:rowOff>
    </xdr:from>
    <xdr:to>
      <xdr:col>1</xdr:col>
      <xdr:colOff>433942</xdr:colOff>
      <xdr:row>16</xdr:row>
      <xdr:rowOff>48800</xdr:rowOff>
    </xdr:to>
    <xdr:sp macro="" textlink="">
      <xdr:nvSpPr>
        <xdr:cNvPr id="60" name="Rectangle: Rounded Corners 59">
          <a:extLst>
            <a:ext uri="{FF2B5EF4-FFF2-40B4-BE49-F238E27FC236}">
              <a16:creationId xmlns:a16="http://schemas.microsoft.com/office/drawing/2014/main" id="{267C59E1-C873-8A36-ACED-81461437E0D0}"/>
            </a:ext>
          </a:extLst>
        </xdr:cNvPr>
        <xdr:cNvSpPr/>
      </xdr:nvSpPr>
      <xdr:spPr>
        <a:xfrm>
          <a:off x="1136771" y="2923745"/>
          <a:ext cx="582811" cy="203085"/>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533741</xdr:colOff>
      <xdr:row>15</xdr:row>
      <xdr:rowOff>38092</xdr:rowOff>
    </xdr:from>
    <xdr:to>
      <xdr:col>1</xdr:col>
      <xdr:colOff>1110189</xdr:colOff>
      <xdr:row>16</xdr:row>
      <xdr:rowOff>48800</xdr:rowOff>
    </xdr:to>
    <xdr:sp macro="" textlink="">
      <xdr:nvSpPr>
        <xdr:cNvPr id="61" name="Rectangle: Rounded Corners 60">
          <a:extLst>
            <a:ext uri="{FF2B5EF4-FFF2-40B4-BE49-F238E27FC236}">
              <a16:creationId xmlns:a16="http://schemas.microsoft.com/office/drawing/2014/main" id="{224409A9-DFC9-FB7C-8E3E-BD2BB52FC0F3}"/>
            </a:ext>
          </a:extLst>
        </xdr:cNvPr>
        <xdr:cNvSpPr/>
      </xdr:nvSpPr>
      <xdr:spPr>
        <a:xfrm>
          <a:off x="1819381" y="2923745"/>
          <a:ext cx="576448" cy="203085"/>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1216351</xdr:colOff>
      <xdr:row>15</xdr:row>
      <xdr:rowOff>38092</xdr:rowOff>
    </xdr:from>
    <xdr:to>
      <xdr:col>1</xdr:col>
      <xdr:colOff>1374791</xdr:colOff>
      <xdr:row>16</xdr:row>
      <xdr:rowOff>48800</xdr:rowOff>
    </xdr:to>
    <xdr:sp macro="" textlink="">
      <xdr:nvSpPr>
        <xdr:cNvPr id="62" name="Rectangle: Rounded Corners 61">
          <a:extLst>
            <a:ext uri="{FF2B5EF4-FFF2-40B4-BE49-F238E27FC236}">
              <a16:creationId xmlns:a16="http://schemas.microsoft.com/office/drawing/2014/main" id="{12E9E2BE-4459-4940-EF94-A4AA50C11B85}"/>
            </a:ext>
          </a:extLst>
        </xdr:cNvPr>
        <xdr:cNvSpPr/>
      </xdr:nvSpPr>
      <xdr:spPr>
        <a:xfrm>
          <a:off x="2501991" y="2923745"/>
          <a:ext cx="158440" cy="203085"/>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1479109</xdr:colOff>
      <xdr:row>15</xdr:row>
      <xdr:rowOff>38092</xdr:rowOff>
    </xdr:from>
    <xdr:to>
      <xdr:col>2</xdr:col>
      <xdr:colOff>188094</xdr:colOff>
      <xdr:row>16</xdr:row>
      <xdr:rowOff>48800</xdr:rowOff>
    </xdr:to>
    <xdr:sp macro="" textlink="">
      <xdr:nvSpPr>
        <xdr:cNvPr id="1024" name="Rectangle: Rounded Corners 1023">
          <a:extLst>
            <a:ext uri="{FF2B5EF4-FFF2-40B4-BE49-F238E27FC236}">
              <a16:creationId xmlns:a16="http://schemas.microsoft.com/office/drawing/2014/main" id="{9D97D33A-6779-6B62-45CD-96FC122CD985}"/>
            </a:ext>
          </a:extLst>
        </xdr:cNvPr>
        <xdr:cNvSpPr/>
      </xdr:nvSpPr>
      <xdr:spPr>
        <a:xfrm>
          <a:off x="2764749" y="2923745"/>
          <a:ext cx="576448" cy="203085"/>
        </a:xfrm>
        <a:prstGeom prst="roundRect">
          <a:avLst>
            <a:gd name="adj" fmla="val 11283"/>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1196547</xdr:colOff>
      <xdr:row>15</xdr:row>
      <xdr:rowOff>7831</xdr:rowOff>
    </xdr:from>
    <xdr:to>
      <xdr:col>1</xdr:col>
      <xdr:colOff>398830</xdr:colOff>
      <xdr:row>16</xdr:row>
      <xdr:rowOff>26786</xdr:rowOff>
    </xdr:to>
    <xdr:sp macro="" textlink="Analysis!G40">
      <xdr:nvSpPr>
        <xdr:cNvPr id="1030" name="TextBox 1029">
          <a:extLst>
            <a:ext uri="{FF2B5EF4-FFF2-40B4-BE49-F238E27FC236}">
              <a16:creationId xmlns:a16="http://schemas.microsoft.com/office/drawing/2014/main" id="{0DCAFAC0-D699-6C4B-E3F4-3FC66303F2F0}"/>
            </a:ext>
          </a:extLst>
        </xdr:cNvPr>
        <xdr:cNvSpPr txBox="1"/>
      </xdr:nvSpPr>
      <xdr:spPr>
        <a:xfrm>
          <a:off x="1196547" y="2893484"/>
          <a:ext cx="487923"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55973F-97B7-49EA-B243-FACF2D2EFD94}" type="TxLink">
            <a:rPr lang="en-US" sz="1100" b="0" i="0" u="none" strike="noStrike">
              <a:solidFill>
                <a:srgbClr val="000000"/>
              </a:solidFill>
              <a:latin typeface="Aptos Narrow"/>
            </a:rPr>
            <a:t>Dec</a:t>
          </a:fld>
          <a:endParaRPr lang="en-GB" sz="900" b="1">
            <a:solidFill>
              <a:schemeClr val="tx1">
                <a:lumMod val="95000"/>
                <a:lumOff val="5000"/>
              </a:schemeClr>
            </a:solidFill>
          </a:endParaRPr>
        </a:p>
      </xdr:txBody>
    </xdr:sp>
    <xdr:clientData/>
  </xdr:twoCellAnchor>
  <xdr:twoCellAnchor>
    <xdr:from>
      <xdr:col>1</xdr:col>
      <xdr:colOff>616977</xdr:colOff>
      <xdr:row>15</xdr:row>
      <xdr:rowOff>5393</xdr:rowOff>
    </xdr:from>
    <xdr:to>
      <xdr:col>1</xdr:col>
      <xdr:colOff>1093265</xdr:colOff>
      <xdr:row>16</xdr:row>
      <xdr:rowOff>24348</xdr:rowOff>
    </xdr:to>
    <xdr:sp macro="" textlink="Analysis!G41">
      <xdr:nvSpPr>
        <xdr:cNvPr id="1031" name="TextBox 1030">
          <a:extLst>
            <a:ext uri="{FF2B5EF4-FFF2-40B4-BE49-F238E27FC236}">
              <a16:creationId xmlns:a16="http://schemas.microsoft.com/office/drawing/2014/main" id="{26AE94AB-A4B2-61E8-6730-B3B67CCF149F}"/>
            </a:ext>
          </a:extLst>
        </xdr:cNvPr>
        <xdr:cNvSpPr txBox="1"/>
      </xdr:nvSpPr>
      <xdr:spPr>
        <a:xfrm>
          <a:off x="1902617" y="2891046"/>
          <a:ext cx="476288"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480EA0-306B-4AD6-80BF-27C71D097E18}" type="TxLink">
            <a:rPr lang="en-US" sz="1100" b="0" i="0" u="none" strike="noStrike">
              <a:solidFill>
                <a:srgbClr val="000000"/>
              </a:solidFill>
              <a:latin typeface="Aptos Narrow"/>
            </a:rPr>
            <a:t>Sep</a:t>
          </a:fld>
          <a:endParaRPr lang="en-GB" sz="900" b="1">
            <a:solidFill>
              <a:schemeClr val="tx1">
                <a:lumMod val="95000"/>
                <a:lumOff val="5000"/>
              </a:schemeClr>
            </a:solidFill>
          </a:endParaRPr>
        </a:p>
      </xdr:txBody>
    </xdr:sp>
    <xdr:clientData/>
  </xdr:twoCellAnchor>
  <xdr:twoCellAnchor>
    <xdr:from>
      <xdr:col>1</xdr:col>
      <xdr:colOff>1524808</xdr:colOff>
      <xdr:row>14</xdr:row>
      <xdr:rowOff>190637</xdr:rowOff>
    </xdr:from>
    <xdr:to>
      <xdr:col>2</xdr:col>
      <xdr:colOff>140765</xdr:colOff>
      <xdr:row>16</xdr:row>
      <xdr:rowOff>17215</xdr:rowOff>
    </xdr:to>
    <xdr:sp macro="" textlink="Analysis!G42">
      <xdr:nvSpPr>
        <xdr:cNvPr id="1032" name="TextBox 1031">
          <a:extLst>
            <a:ext uri="{FF2B5EF4-FFF2-40B4-BE49-F238E27FC236}">
              <a16:creationId xmlns:a16="http://schemas.microsoft.com/office/drawing/2014/main" id="{2147F2B0-47CC-E9A5-0D8E-A51B4B57DEB1}"/>
            </a:ext>
          </a:extLst>
        </xdr:cNvPr>
        <xdr:cNvSpPr txBox="1"/>
      </xdr:nvSpPr>
      <xdr:spPr>
        <a:xfrm>
          <a:off x="2810448" y="2883913"/>
          <a:ext cx="483420"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240FF7-E93A-4853-ACE3-77A00B949A63}" type="TxLink">
            <a:rPr lang="en-US" sz="1100" b="0" i="0" u="none" strike="noStrike">
              <a:solidFill>
                <a:srgbClr val="000000"/>
              </a:solidFill>
              <a:latin typeface="Aptos Narrow"/>
            </a:rPr>
            <a:t>Aug</a:t>
          </a:fld>
          <a:endParaRPr lang="en-GB" sz="900" b="1">
            <a:solidFill>
              <a:schemeClr val="tx1">
                <a:lumMod val="95000"/>
                <a:lumOff val="5000"/>
              </a:schemeClr>
            </a:solidFill>
          </a:endParaRPr>
        </a:p>
      </xdr:txBody>
    </xdr:sp>
    <xdr:clientData/>
  </xdr:twoCellAnchor>
  <xdr:twoCellAnchor>
    <xdr:from>
      <xdr:col>1</xdr:col>
      <xdr:colOff>1163703</xdr:colOff>
      <xdr:row>15</xdr:row>
      <xdr:rowOff>26600</xdr:rowOff>
    </xdr:from>
    <xdr:to>
      <xdr:col>1</xdr:col>
      <xdr:colOff>1473325</xdr:colOff>
      <xdr:row>16</xdr:row>
      <xdr:rowOff>45555</xdr:rowOff>
    </xdr:to>
    <xdr:sp macro="" textlink="">
      <xdr:nvSpPr>
        <xdr:cNvPr id="1033" name="TextBox 1032">
          <a:extLst>
            <a:ext uri="{FF2B5EF4-FFF2-40B4-BE49-F238E27FC236}">
              <a16:creationId xmlns:a16="http://schemas.microsoft.com/office/drawing/2014/main" id="{67FD2A85-DE4D-9DBE-E9D1-1A1CA776E6FA}"/>
            </a:ext>
          </a:extLst>
        </xdr:cNvPr>
        <xdr:cNvSpPr txBox="1"/>
      </xdr:nvSpPr>
      <xdr:spPr>
        <a:xfrm>
          <a:off x="2449343" y="2912253"/>
          <a:ext cx="309622"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chemeClr val="tx1">
                  <a:lumMod val="95000"/>
                  <a:lumOff val="5000"/>
                </a:schemeClr>
              </a:solidFill>
              <a:latin typeface="Aptos Narrow"/>
            </a:rPr>
            <a:t>&amp;</a:t>
          </a:r>
        </a:p>
      </xdr:txBody>
    </xdr:sp>
    <xdr:clientData/>
  </xdr:twoCellAnchor>
  <xdr:twoCellAnchor>
    <xdr:from>
      <xdr:col>2</xdr:col>
      <xdr:colOff>180611</xdr:colOff>
      <xdr:row>14</xdr:row>
      <xdr:rowOff>188385</xdr:rowOff>
    </xdr:from>
    <xdr:to>
      <xdr:col>3</xdr:col>
      <xdr:colOff>103227</xdr:colOff>
      <xdr:row>16</xdr:row>
      <xdr:rowOff>14963</xdr:rowOff>
    </xdr:to>
    <xdr:sp macro="" textlink="">
      <xdr:nvSpPr>
        <xdr:cNvPr id="1035" name="TextBox 1034">
          <a:extLst>
            <a:ext uri="{FF2B5EF4-FFF2-40B4-BE49-F238E27FC236}">
              <a16:creationId xmlns:a16="http://schemas.microsoft.com/office/drawing/2014/main" id="{A0C8646C-AF9C-3896-A55C-356B869870B5}"/>
            </a:ext>
          </a:extLst>
        </xdr:cNvPr>
        <xdr:cNvSpPr txBox="1"/>
      </xdr:nvSpPr>
      <xdr:spPr>
        <a:xfrm>
          <a:off x="3333714" y="2881661"/>
          <a:ext cx="1419402"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colectively</a:t>
          </a:r>
          <a:r>
            <a:rPr lang="en-US" sz="900" b="1" i="0" u="none" strike="noStrike" baseline="0">
              <a:solidFill>
                <a:schemeClr val="tx1">
                  <a:lumMod val="95000"/>
                  <a:lumOff val="5000"/>
                </a:schemeClr>
              </a:solidFill>
              <a:latin typeface="Aptos Narrow"/>
            </a:rPr>
            <a:t> </a:t>
          </a:r>
          <a:r>
            <a:rPr lang="en-US" sz="900" b="0" i="0" u="none" strike="noStrike" baseline="0">
              <a:solidFill>
                <a:schemeClr val="tx1">
                  <a:lumMod val="95000"/>
                  <a:lumOff val="5000"/>
                </a:schemeClr>
              </a:solidFill>
              <a:latin typeface="Aptos Narrow"/>
            </a:rPr>
            <a:t>accounted for </a:t>
          </a:r>
          <a:endParaRPr lang="en-US" sz="900" b="0" i="0" u="none" strike="noStrike">
            <a:solidFill>
              <a:schemeClr val="tx1">
                <a:lumMod val="95000"/>
                <a:lumOff val="5000"/>
              </a:schemeClr>
            </a:solidFill>
            <a:latin typeface="Aptos Narrow"/>
          </a:endParaRPr>
        </a:p>
      </xdr:txBody>
    </xdr:sp>
    <xdr:clientData/>
  </xdr:twoCellAnchor>
  <xdr:twoCellAnchor>
    <xdr:from>
      <xdr:col>2</xdr:col>
      <xdr:colOff>1362835</xdr:colOff>
      <xdr:row>15</xdr:row>
      <xdr:rowOff>514</xdr:rowOff>
    </xdr:from>
    <xdr:to>
      <xdr:col>3</xdr:col>
      <xdr:colOff>491456</xdr:colOff>
      <xdr:row>16</xdr:row>
      <xdr:rowOff>19469</xdr:rowOff>
    </xdr:to>
    <xdr:sp macro="" textlink="Analysis!G45">
      <xdr:nvSpPr>
        <xdr:cNvPr id="1037" name="TextBox 1036">
          <a:extLst>
            <a:ext uri="{FF2B5EF4-FFF2-40B4-BE49-F238E27FC236}">
              <a16:creationId xmlns:a16="http://schemas.microsoft.com/office/drawing/2014/main" id="{10E9E469-BB92-C287-D046-88ABE773DDE1}"/>
            </a:ext>
          </a:extLst>
        </xdr:cNvPr>
        <xdr:cNvSpPr txBox="1"/>
      </xdr:nvSpPr>
      <xdr:spPr>
        <a:xfrm>
          <a:off x="4515938" y="2886167"/>
          <a:ext cx="625407" cy="2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532E3F-5894-46B3-B1C2-BB9B127DD692}" type="TxLink">
            <a:rPr lang="en-US" sz="1100" b="1" i="0" u="none" strike="noStrike">
              <a:solidFill>
                <a:srgbClr val="59C7E9"/>
              </a:solidFill>
              <a:latin typeface="Aptos Narrow"/>
            </a:rPr>
            <a:t>35.60%</a:t>
          </a:fld>
          <a:endParaRPr lang="en-GB" sz="1100" b="1">
            <a:solidFill>
              <a:srgbClr val="59C7E9"/>
            </a:solidFill>
          </a:endParaRPr>
        </a:p>
      </xdr:txBody>
    </xdr:sp>
    <xdr:clientData/>
  </xdr:twoCellAnchor>
  <xdr:twoCellAnchor>
    <xdr:from>
      <xdr:col>2</xdr:col>
      <xdr:colOff>186060</xdr:colOff>
      <xdr:row>15</xdr:row>
      <xdr:rowOff>158313</xdr:rowOff>
    </xdr:from>
    <xdr:to>
      <xdr:col>2</xdr:col>
      <xdr:colOff>1001163</xdr:colOff>
      <xdr:row>16</xdr:row>
      <xdr:rowOff>173354</xdr:rowOff>
    </xdr:to>
    <xdr:sp macro="" textlink="">
      <xdr:nvSpPr>
        <xdr:cNvPr id="1038" name="TextBox 1037">
          <a:extLst>
            <a:ext uri="{FF2B5EF4-FFF2-40B4-BE49-F238E27FC236}">
              <a16:creationId xmlns:a16="http://schemas.microsoft.com/office/drawing/2014/main" id="{FEFB41EA-56C9-D833-F5BB-8E2B4321430B}"/>
            </a:ext>
          </a:extLst>
        </xdr:cNvPr>
        <xdr:cNvSpPr txBox="1"/>
      </xdr:nvSpPr>
      <xdr:spPr>
        <a:xfrm>
          <a:off x="3343088" y="3033785"/>
          <a:ext cx="815103" cy="206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of total </a:t>
          </a:r>
          <a:r>
            <a:rPr lang="en-US" sz="900" b="1" i="0" u="none" strike="noStrike">
              <a:solidFill>
                <a:schemeClr val="tx1">
                  <a:lumMod val="95000"/>
                  <a:lumOff val="5000"/>
                </a:schemeClr>
              </a:solidFill>
              <a:latin typeface="Aptos Narrow"/>
            </a:rPr>
            <a:t>Profit</a:t>
          </a:r>
        </a:p>
      </xdr:txBody>
    </xdr:sp>
    <xdr:clientData/>
  </xdr:twoCellAnchor>
  <xdr:twoCellAnchor>
    <xdr:from>
      <xdr:col>5</xdr:col>
      <xdr:colOff>266699</xdr:colOff>
      <xdr:row>16</xdr:row>
      <xdr:rowOff>179717</xdr:rowOff>
    </xdr:from>
    <xdr:to>
      <xdr:col>11</xdr:col>
      <xdr:colOff>38100</xdr:colOff>
      <xdr:row>26</xdr:row>
      <xdr:rowOff>125802</xdr:rowOff>
    </xdr:to>
    <xdr:graphicFrame macro="">
      <xdr:nvGraphicFramePr>
        <xdr:cNvPr id="1041" name="Chart 1040">
          <a:extLst>
            <a:ext uri="{FF2B5EF4-FFF2-40B4-BE49-F238E27FC236}">
              <a16:creationId xmlns:a16="http://schemas.microsoft.com/office/drawing/2014/main" id="{40A75F16-F78C-4103-A2E8-F3D4E454A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157199</xdr:colOff>
      <xdr:row>15</xdr:row>
      <xdr:rowOff>33788</xdr:rowOff>
    </xdr:from>
    <xdr:to>
      <xdr:col>7</xdr:col>
      <xdr:colOff>413348</xdr:colOff>
      <xdr:row>16</xdr:row>
      <xdr:rowOff>152759</xdr:rowOff>
    </xdr:to>
    <xdr:sp macro="" textlink="">
      <xdr:nvSpPr>
        <xdr:cNvPr id="1043" name="TextBox 1042">
          <a:extLst>
            <a:ext uri="{FF2B5EF4-FFF2-40B4-BE49-F238E27FC236}">
              <a16:creationId xmlns:a16="http://schemas.microsoft.com/office/drawing/2014/main" id="{4B62D2CD-DDE6-4E40-9DFA-76D2149ED1E5}"/>
            </a:ext>
          </a:extLst>
        </xdr:cNvPr>
        <xdr:cNvSpPr txBox="1"/>
      </xdr:nvSpPr>
      <xdr:spPr>
        <a:xfrm>
          <a:off x="7813142" y="2864330"/>
          <a:ext cx="2304923" cy="30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a:solidFill>
                <a:schemeClr val="tx1">
                  <a:lumMod val="95000"/>
                  <a:lumOff val="5000"/>
                </a:schemeClr>
              </a:solidFill>
              <a:latin typeface="Aptos Narrow"/>
            </a:rPr>
            <a:t>The Highlighed</a:t>
          </a:r>
          <a:r>
            <a:rPr lang="en-US" sz="1050" b="0" i="0" u="none" strike="noStrike" baseline="0">
              <a:solidFill>
                <a:schemeClr val="tx1">
                  <a:lumMod val="95000"/>
                  <a:lumOff val="5000"/>
                </a:schemeClr>
              </a:solidFill>
              <a:latin typeface="Aptos Narrow"/>
            </a:rPr>
            <a:t> week Days Contributed</a:t>
          </a:r>
          <a:endParaRPr lang="en-US" sz="1050" b="0" i="0" u="none" strike="noStrike">
            <a:solidFill>
              <a:schemeClr val="tx1">
                <a:lumMod val="95000"/>
                <a:lumOff val="5000"/>
              </a:schemeClr>
            </a:solidFill>
            <a:latin typeface="Aptos Narrow"/>
          </a:endParaRPr>
        </a:p>
      </xdr:txBody>
    </xdr:sp>
    <xdr:clientData/>
  </xdr:twoCellAnchor>
  <xdr:twoCellAnchor>
    <xdr:from>
      <xdr:col>7</xdr:col>
      <xdr:colOff>224221</xdr:colOff>
      <xdr:row>15</xdr:row>
      <xdr:rowOff>9512</xdr:rowOff>
    </xdr:from>
    <xdr:to>
      <xdr:col>8</xdr:col>
      <xdr:colOff>596014</xdr:colOff>
      <xdr:row>16</xdr:row>
      <xdr:rowOff>153601</xdr:rowOff>
    </xdr:to>
    <xdr:sp macro="" textlink="Analysis!R37">
      <xdr:nvSpPr>
        <xdr:cNvPr id="1044" name="TextBox 1043">
          <a:extLst>
            <a:ext uri="{FF2B5EF4-FFF2-40B4-BE49-F238E27FC236}">
              <a16:creationId xmlns:a16="http://schemas.microsoft.com/office/drawing/2014/main" id="{276AEEA0-2A58-8AF4-A53A-C56E93B119C6}"/>
            </a:ext>
          </a:extLst>
        </xdr:cNvPr>
        <xdr:cNvSpPr txBox="1"/>
      </xdr:nvSpPr>
      <xdr:spPr>
        <a:xfrm>
          <a:off x="9926430" y="2833785"/>
          <a:ext cx="980950" cy="332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231318-90F5-44E4-ACB4-9F145A927605}" type="TxLink">
            <a:rPr lang="en-US" sz="1600" b="1" i="0" u="none" strike="noStrike">
              <a:solidFill>
                <a:srgbClr val="59C7E9"/>
              </a:solidFill>
              <a:latin typeface="Aptos Narrow"/>
            </a:rPr>
            <a:t>58.78%</a:t>
          </a:fld>
          <a:endParaRPr lang="en-GB" sz="1600" b="1">
            <a:solidFill>
              <a:srgbClr val="59C7E9"/>
            </a:solidFill>
          </a:endParaRPr>
        </a:p>
      </xdr:txBody>
    </xdr:sp>
    <xdr:clientData/>
  </xdr:twoCellAnchor>
  <xdr:twoCellAnchor>
    <xdr:from>
      <xdr:col>8</xdr:col>
      <xdr:colOff>268987</xdr:colOff>
      <xdr:row>15</xdr:row>
      <xdr:rowOff>48468</xdr:rowOff>
    </xdr:from>
    <xdr:to>
      <xdr:col>10</xdr:col>
      <xdr:colOff>137201</xdr:colOff>
      <xdr:row>16</xdr:row>
      <xdr:rowOff>52260</xdr:rowOff>
    </xdr:to>
    <xdr:sp macro="" textlink="">
      <xdr:nvSpPr>
        <xdr:cNvPr id="1045" name="TextBox 1044">
          <a:extLst>
            <a:ext uri="{FF2B5EF4-FFF2-40B4-BE49-F238E27FC236}">
              <a16:creationId xmlns:a16="http://schemas.microsoft.com/office/drawing/2014/main" id="{51C44E25-58EF-2076-DF10-CDCBD4C13419}"/>
            </a:ext>
          </a:extLst>
        </xdr:cNvPr>
        <xdr:cNvSpPr txBox="1"/>
      </xdr:nvSpPr>
      <xdr:spPr>
        <a:xfrm>
          <a:off x="10580353" y="2872741"/>
          <a:ext cx="1086528" cy="192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a:solidFill>
                <a:schemeClr val="tx1">
                  <a:lumMod val="95000"/>
                  <a:lumOff val="5000"/>
                </a:schemeClr>
              </a:solidFill>
              <a:latin typeface="Aptos Narrow"/>
            </a:rPr>
            <a:t>of total </a:t>
          </a:r>
          <a:r>
            <a:rPr lang="en-US" sz="1050" b="1" i="0" u="none" strike="noStrike">
              <a:solidFill>
                <a:schemeClr val="tx1">
                  <a:lumMod val="95000"/>
                  <a:lumOff val="5000"/>
                </a:schemeClr>
              </a:solidFill>
              <a:latin typeface="Aptos Narrow"/>
            </a:rPr>
            <a:t>Profit</a:t>
          </a:r>
        </a:p>
      </xdr:txBody>
    </xdr:sp>
    <xdr:clientData/>
  </xdr:twoCellAnchor>
  <xdr:twoCellAnchor>
    <xdr:from>
      <xdr:col>0</xdr:col>
      <xdr:colOff>0</xdr:colOff>
      <xdr:row>26</xdr:row>
      <xdr:rowOff>34131</xdr:rowOff>
    </xdr:from>
    <xdr:to>
      <xdr:col>1</xdr:col>
      <xdr:colOff>939085</xdr:colOff>
      <xdr:row>35</xdr:row>
      <xdr:rowOff>95658</xdr:rowOff>
    </xdr:to>
    <xdr:graphicFrame macro="">
      <xdr:nvGraphicFramePr>
        <xdr:cNvPr id="1046" name="Chart 1045">
          <a:extLst>
            <a:ext uri="{FF2B5EF4-FFF2-40B4-BE49-F238E27FC236}">
              <a16:creationId xmlns:a16="http://schemas.microsoft.com/office/drawing/2014/main" id="{A7D90B65-F575-42F0-B5DE-24E44614E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721221</xdr:colOff>
      <xdr:row>28</xdr:row>
      <xdr:rowOff>6186</xdr:rowOff>
    </xdr:from>
    <xdr:to>
      <xdr:col>1</xdr:col>
      <xdr:colOff>229539</xdr:colOff>
      <xdr:row>32</xdr:row>
      <xdr:rowOff>33421</xdr:rowOff>
    </xdr:to>
    <xdr:sp macro="" textlink="">
      <xdr:nvSpPr>
        <xdr:cNvPr id="1050" name="Oval 1049">
          <a:extLst>
            <a:ext uri="{FF2B5EF4-FFF2-40B4-BE49-F238E27FC236}">
              <a16:creationId xmlns:a16="http://schemas.microsoft.com/office/drawing/2014/main" id="{9A81D0E9-59CD-B12F-8891-227F8E4D20E9}"/>
            </a:ext>
          </a:extLst>
        </xdr:cNvPr>
        <xdr:cNvSpPr/>
      </xdr:nvSpPr>
      <xdr:spPr>
        <a:xfrm>
          <a:off x="721221" y="4889425"/>
          <a:ext cx="796205" cy="77850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591100</xdr:colOff>
      <xdr:row>27</xdr:row>
      <xdr:rowOff>68643</xdr:rowOff>
    </xdr:from>
    <xdr:to>
      <xdr:col>1</xdr:col>
      <xdr:colOff>1715188</xdr:colOff>
      <xdr:row>28</xdr:row>
      <xdr:rowOff>124733</xdr:rowOff>
    </xdr:to>
    <xdr:sp macro="" textlink="Analysis!O51">
      <xdr:nvSpPr>
        <xdr:cNvPr id="1051" name="TextBox 1050">
          <a:extLst>
            <a:ext uri="{FF2B5EF4-FFF2-40B4-BE49-F238E27FC236}">
              <a16:creationId xmlns:a16="http://schemas.microsoft.com/office/drawing/2014/main" id="{A4572938-3781-55C5-4C97-D7B1A9BE0C7C}"/>
            </a:ext>
          </a:extLst>
        </xdr:cNvPr>
        <xdr:cNvSpPr txBox="1"/>
      </xdr:nvSpPr>
      <xdr:spPr>
        <a:xfrm>
          <a:off x="1878987" y="4764066"/>
          <a:ext cx="1124088" cy="24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926B87-27E6-4503-80D9-74556E737766}" type="TxLink">
            <a:rPr lang="en-US" sz="1100" b="0" i="0" u="none" strike="noStrike">
              <a:solidFill>
                <a:srgbClr val="000000"/>
              </a:solidFill>
              <a:latin typeface="Aptos Narrow"/>
            </a:rPr>
            <a:t>Weekday Makes Up </a:t>
          </a:fld>
          <a:endParaRPr lang="en-US" sz="900" b="0" i="0" u="none" strike="noStrike">
            <a:solidFill>
              <a:schemeClr val="tx1">
                <a:lumMod val="95000"/>
                <a:lumOff val="5000"/>
              </a:schemeClr>
            </a:solidFill>
            <a:latin typeface="Aptos Narrow"/>
          </a:endParaRPr>
        </a:p>
      </xdr:txBody>
    </xdr:sp>
    <xdr:clientData/>
  </xdr:twoCellAnchor>
  <xdr:twoCellAnchor>
    <xdr:from>
      <xdr:col>1</xdr:col>
      <xdr:colOff>716215</xdr:colOff>
      <xdr:row>28</xdr:row>
      <xdr:rowOff>91107</xdr:rowOff>
    </xdr:from>
    <xdr:to>
      <xdr:col>1</xdr:col>
      <xdr:colOff>1604909</xdr:colOff>
      <xdr:row>30</xdr:row>
      <xdr:rowOff>40246</xdr:rowOff>
    </xdr:to>
    <xdr:sp macro="" textlink="Analysis!O50">
      <xdr:nvSpPr>
        <xdr:cNvPr id="1052" name="TextBox 1051">
          <a:extLst>
            <a:ext uri="{FF2B5EF4-FFF2-40B4-BE49-F238E27FC236}">
              <a16:creationId xmlns:a16="http://schemas.microsoft.com/office/drawing/2014/main" id="{1E86398A-D782-49A7-E70F-AF2A844917B1}"/>
            </a:ext>
          </a:extLst>
        </xdr:cNvPr>
        <xdr:cNvSpPr txBox="1"/>
      </xdr:nvSpPr>
      <xdr:spPr>
        <a:xfrm>
          <a:off x="2004102" y="4974346"/>
          <a:ext cx="888694" cy="32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CF3635-6824-4DEC-B098-63033708C176}" type="TxLink">
            <a:rPr lang="en-US" sz="1600" b="1" i="0" u="none" strike="noStrike">
              <a:solidFill>
                <a:srgbClr val="59C7E9"/>
              </a:solidFill>
              <a:latin typeface="Aptos Narrow"/>
            </a:rPr>
            <a:t>56.90%</a:t>
          </a:fld>
          <a:endParaRPr lang="en-GB" sz="1600" b="1">
            <a:solidFill>
              <a:srgbClr val="59C7E9"/>
            </a:solidFill>
          </a:endParaRPr>
        </a:p>
      </xdr:txBody>
    </xdr:sp>
    <xdr:clientData/>
  </xdr:twoCellAnchor>
  <xdr:twoCellAnchor>
    <xdr:from>
      <xdr:col>1</xdr:col>
      <xdr:colOff>670254</xdr:colOff>
      <xdr:row>29</xdr:row>
      <xdr:rowOff>177835</xdr:rowOff>
    </xdr:from>
    <xdr:to>
      <xdr:col>1</xdr:col>
      <xdr:colOff>1485357</xdr:colOff>
      <xdr:row>31</xdr:row>
      <xdr:rowOff>5059</xdr:rowOff>
    </xdr:to>
    <xdr:sp macro="" textlink="">
      <xdr:nvSpPr>
        <xdr:cNvPr id="1053" name="TextBox 1052">
          <a:extLst>
            <a:ext uri="{FF2B5EF4-FFF2-40B4-BE49-F238E27FC236}">
              <a16:creationId xmlns:a16="http://schemas.microsoft.com/office/drawing/2014/main" id="{330A01F9-051F-436A-D4F7-7F20A3CBD469}"/>
            </a:ext>
          </a:extLst>
        </xdr:cNvPr>
        <xdr:cNvSpPr txBox="1"/>
      </xdr:nvSpPr>
      <xdr:spPr>
        <a:xfrm>
          <a:off x="1958141" y="5248891"/>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of total </a:t>
          </a:r>
          <a:r>
            <a:rPr lang="en-US" sz="900" b="1" i="0" u="none" strike="noStrike">
              <a:solidFill>
                <a:schemeClr val="tx1">
                  <a:lumMod val="95000"/>
                  <a:lumOff val="5000"/>
                </a:schemeClr>
              </a:solidFill>
              <a:latin typeface="Aptos Narrow"/>
            </a:rPr>
            <a:t>Profit</a:t>
          </a:r>
        </a:p>
      </xdr:txBody>
    </xdr:sp>
    <xdr:clientData/>
  </xdr:twoCellAnchor>
  <xdr:twoCellAnchor editAs="oneCell">
    <xdr:from>
      <xdr:col>0</xdr:col>
      <xdr:colOff>867809</xdr:colOff>
      <xdr:row>28</xdr:row>
      <xdr:rowOff>144906</xdr:rowOff>
    </xdr:from>
    <xdr:to>
      <xdr:col>1</xdr:col>
      <xdr:colOff>85291</xdr:colOff>
      <xdr:row>31</xdr:row>
      <xdr:rowOff>80784</xdr:rowOff>
    </xdr:to>
    <xdr:pic>
      <xdr:nvPicPr>
        <xdr:cNvPr id="1055" name="Picture 1054">
          <a:extLst>
            <a:ext uri="{FF2B5EF4-FFF2-40B4-BE49-F238E27FC236}">
              <a16:creationId xmlns:a16="http://schemas.microsoft.com/office/drawing/2014/main" id="{613677BF-86E4-1621-14ED-2AE4ED4E2E6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7809" y="5028145"/>
          <a:ext cx="505369" cy="499329"/>
        </a:xfrm>
        <a:prstGeom prst="rect">
          <a:avLst/>
        </a:prstGeom>
      </xdr:spPr>
    </xdr:pic>
    <xdr:clientData/>
  </xdr:twoCellAnchor>
  <xdr:twoCellAnchor>
    <xdr:from>
      <xdr:col>2</xdr:col>
      <xdr:colOff>243532</xdr:colOff>
      <xdr:row>26</xdr:row>
      <xdr:rowOff>112455</xdr:rowOff>
    </xdr:from>
    <xdr:to>
      <xdr:col>5</xdr:col>
      <xdr:colOff>496374</xdr:colOff>
      <xdr:row>36</xdr:row>
      <xdr:rowOff>12928</xdr:rowOff>
    </xdr:to>
    <xdr:sp macro="" textlink="">
      <xdr:nvSpPr>
        <xdr:cNvPr id="1056" name="Rectangle: Rounded Corners 1055">
          <a:extLst>
            <a:ext uri="{FF2B5EF4-FFF2-40B4-BE49-F238E27FC236}">
              <a16:creationId xmlns:a16="http://schemas.microsoft.com/office/drawing/2014/main" id="{8A2856D4-00B5-2225-5729-A7441BD80AEA}"/>
            </a:ext>
          </a:extLst>
        </xdr:cNvPr>
        <xdr:cNvSpPr/>
      </xdr:nvSpPr>
      <xdr:spPr>
        <a:xfrm>
          <a:off x="3396173" y="4620061"/>
          <a:ext cx="4760447" cy="177864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579683</xdr:colOff>
      <xdr:row>29</xdr:row>
      <xdr:rowOff>93370</xdr:rowOff>
    </xdr:from>
    <xdr:to>
      <xdr:col>2</xdr:col>
      <xdr:colOff>1378883</xdr:colOff>
      <xdr:row>34</xdr:row>
      <xdr:rowOff>144285</xdr:rowOff>
    </xdr:to>
    <xdr:sp macro="" textlink="">
      <xdr:nvSpPr>
        <xdr:cNvPr id="1057" name="Rectangle: Rounded Corners 1056">
          <a:extLst>
            <a:ext uri="{FF2B5EF4-FFF2-40B4-BE49-F238E27FC236}">
              <a16:creationId xmlns:a16="http://schemas.microsoft.com/office/drawing/2014/main" id="{4D82C4E0-0EE7-0CA9-DB5B-8C47F387E47B}"/>
            </a:ext>
          </a:extLst>
        </xdr:cNvPr>
        <xdr:cNvSpPr/>
      </xdr:nvSpPr>
      <xdr:spPr>
        <a:xfrm>
          <a:off x="3732324" y="5164426"/>
          <a:ext cx="799200" cy="990000"/>
        </a:xfrm>
        <a:prstGeom prst="roundRect">
          <a:avLst>
            <a:gd name="adj" fmla="val 11283"/>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21062</xdr:colOff>
      <xdr:row>52</xdr:row>
      <xdr:rowOff>150789</xdr:rowOff>
    </xdr:from>
    <xdr:to>
      <xdr:col>0</xdr:col>
      <xdr:colOff>820262</xdr:colOff>
      <xdr:row>58</xdr:row>
      <xdr:rowOff>13888</xdr:rowOff>
    </xdr:to>
    <xdr:sp macro="" textlink="">
      <xdr:nvSpPr>
        <xdr:cNvPr id="1058" name="Rectangle: Rounded Corners 1057">
          <a:extLst>
            <a:ext uri="{FF2B5EF4-FFF2-40B4-BE49-F238E27FC236}">
              <a16:creationId xmlns:a16="http://schemas.microsoft.com/office/drawing/2014/main" id="{24694EFC-FD10-CCB6-92C6-2CD88B9CF03D}"/>
            </a:ext>
          </a:extLst>
        </xdr:cNvPr>
        <xdr:cNvSpPr/>
      </xdr:nvSpPr>
      <xdr:spPr>
        <a:xfrm>
          <a:off x="21062" y="9541634"/>
          <a:ext cx="799200" cy="990000"/>
        </a:xfrm>
        <a:prstGeom prst="roundRect">
          <a:avLst>
            <a:gd name="adj" fmla="val 11283"/>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177576</xdr:colOff>
      <xdr:row>29</xdr:row>
      <xdr:rowOff>93370</xdr:rowOff>
    </xdr:from>
    <xdr:to>
      <xdr:col>3</xdr:col>
      <xdr:colOff>976776</xdr:colOff>
      <xdr:row>34</xdr:row>
      <xdr:rowOff>144285</xdr:rowOff>
    </xdr:to>
    <xdr:sp macro="" textlink="">
      <xdr:nvSpPr>
        <xdr:cNvPr id="1059" name="Rectangle: Rounded Corners 1058">
          <a:extLst>
            <a:ext uri="{FF2B5EF4-FFF2-40B4-BE49-F238E27FC236}">
              <a16:creationId xmlns:a16="http://schemas.microsoft.com/office/drawing/2014/main" id="{67274FC8-0C3C-B440-C63B-257DC9989B48}"/>
            </a:ext>
          </a:extLst>
        </xdr:cNvPr>
        <xdr:cNvSpPr/>
      </xdr:nvSpPr>
      <xdr:spPr>
        <a:xfrm>
          <a:off x="4826044" y="5164426"/>
          <a:ext cx="799200" cy="990000"/>
        </a:xfrm>
        <a:prstGeom prst="roundRect">
          <a:avLst>
            <a:gd name="adj" fmla="val 11283"/>
          </a:avLst>
        </a:prstGeom>
        <a:solidFill>
          <a:srgbClr val="E2EA45"/>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1271296</xdr:colOff>
      <xdr:row>29</xdr:row>
      <xdr:rowOff>93370</xdr:rowOff>
    </xdr:from>
    <xdr:to>
      <xdr:col>4</xdr:col>
      <xdr:colOff>507591</xdr:colOff>
      <xdr:row>34</xdr:row>
      <xdr:rowOff>144285</xdr:rowOff>
    </xdr:to>
    <xdr:sp macro="" textlink="">
      <xdr:nvSpPr>
        <xdr:cNvPr id="1060" name="Rectangle: Rounded Corners 1059">
          <a:extLst>
            <a:ext uri="{FF2B5EF4-FFF2-40B4-BE49-F238E27FC236}">
              <a16:creationId xmlns:a16="http://schemas.microsoft.com/office/drawing/2014/main" id="{0D65081D-5EA4-2876-D459-15809D39D9AB}"/>
            </a:ext>
          </a:extLst>
        </xdr:cNvPr>
        <xdr:cNvSpPr/>
      </xdr:nvSpPr>
      <xdr:spPr>
        <a:xfrm>
          <a:off x="5919764" y="5164426"/>
          <a:ext cx="799200" cy="990000"/>
        </a:xfrm>
        <a:prstGeom prst="roundRect">
          <a:avLst>
            <a:gd name="adj" fmla="val 11283"/>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795404</xdr:colOff>
      <xdr:row>29</xdr:row>
      <xdr:rowOff>93370</xdr:rowOff>
    </xdr:from>
    <xdr:to>
      <xdr:col>5</xdr:col>
      <xdr:colOff>145731</xdr:colOff>
      <xdr:row>34</xdr:row>
      <xdr:rowOff>144285</xdr:rowOff>
    </xdr:to>
    <xdr:sp macro="" textlink="">
      <xdr:nvSpPr>
        <xdr:cNvPr id="1061" name="Rectangle: Rounded Corners 1060">
          <a:extLst>
            <a:ext uri="{FF2B5EF4-FFF2-40B4-BE49-F238E27FC236}">
              <a16:creationId xmlns:a16="http://schemas.microsoft.com/office/drawing/2014/main" id="{D33FBBD0-152E-60D5-1164-5E3DC1F349D0}"/>
            </a:ext>
          </a:extLst>
        </xdr:cNvPr>
        <xdr:cNvSpPr/>
      </xdr:nvSpPr>
      <xdr:spPr>
        <a:xfrm>
          <a:off x="7006777" y="5164426"/>
          <a:ext cx="799200" cy="990000"/>
        </a:xfrm>
        <a:prstGeom prst="roundRect">
          <a:avLst>
            <a:gd name="adj" fmla="val 11283"/>
          </a:avLst>
        </a:prstGeom>
        <a:solidFill>
          <a:srgbClr val="F7560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1307147</xdr:colOff>
      <xdr:row>33</xdr:row>
      <xdr:rowOff>61309</xdr:rowOff>
    </xdr:from>
    <xdr:to>
      <xdr:col>5</xdr:col>
      <xdr:colOff>278959</xdr:colOff>
      <xdr:row>35</xdr:row>
      <xdr:rowOff>100613</xdr:rowOff>
    </xdr:to>
    <xdr:sp macro="" textlink="">
      <xdr:nvSpPr>
        <xdr:cNvPr id="1062" name="Oval 1061">
          <a:extLst>
            <a:ext uri="{FF2B5EF4-FFF2-40B4-BE49-F238E27FC236}">
              <a16:creationId xmlns:a16="http://schemas.microsoft.com/office/drawing/2014/main" id="{D10A4BFF-5B6C-80BC-FE41-B530FD569316}"/>
            </a:ext>
          </a:extLst>
        </xdr:cNvPr>
        <xdr:cNvSpPr/>
      </xdr:nvSpPr>
      <xdr:spPr>
        <a:xfrm>
          <a:off x="7518520" y="5883633"/>
          <a:ext cx="420685" cy="414938"/>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104583</xdr:colOff>
      <xdr:row>55</xdr:row>
      <xdr:rowOff>72853</xdr:rowOff>
    </xdr:from>
    <xdr:to>
      <xdr:col>5</xdr:col>
      <xdr:colOff>525268</xdr:colOff>
      <xdr:row>57</xdr:row>
      <xdr:rowOff>112157</xdr:rowOff>
    </xdr:to>
    <xdr:sp macro="" textlink="">
      <xdr:nvSpPr>
        <xdr:cNvPr id="1063" name="Oval 1062">
          <a:extLst>
            <a:ext uri="{FF2B5EF4-FFF2-40B4-BE49-F238E27FC236}">
              <a16:creationId xmlns:a16="http://schemas.microsoft.com/office/drawing/2014/main" id="{CA8755E6-DBAA-38E3-BDF9-C984B35CEC0D}"/>
            </a:ext>
          </a:extLst>
        </xdr:cNvPr>
        <xdr:cNvSpPr/>
      </xdr:nvSpPr>
      <xdr:spPr>
        <a:xfrm>
          <a:off x="7764829" y="10027149"/>
          <a:ext cx="420685" cy="41493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211906</xdr:colOff>
      <xdr:row>33</xdr:row>
      <xdr:rowOff>59431</xdr:rowOff>
    </xdr:from>
    <xdr:to>
      <xdr:col>4</xdr:col>
      <xdr:colOff>632591</xdr:colOff>
      <xdr:row>35</xdr:row>
      <xdr:rowOff>98735</xdr:rowOff>
    </xdr:to>
    <xdr:sp macro="" textlink="">
      <xdr:nvSpPr>
        <xdr:cNvPr id="1067" name="Oval 1066">
          <a:extLst>
            <a:ext uri="{FF2B5EF4-FFF2-40B4-BE49-F238E27FC236}">
              <a16:creationId xmlns:a16="http://schemas.microsoft.com/office/drawing/2014/main" id="{FC28593D-BFF8-3863-A49A-65AE56271192}"/>
            </a:ext>
          </a:extLst>
        </xdr:cNvPr>
        <xdr:cNvSpPr/>
      </xdr:nvSpPr>
      <xdr:spPr>
        <a:xfrm>
          <a:off x="6423279" y="5881755"/>
          <a:ext cx="420685" cy="414938"/>
        </a:xfrm>
        <a:prstGeom prst="ellipse">
          <a:avLst/>
        </a:prstGeom>
        <a:solidFill>
          <a:schemeClr val="bg1">
            <a:lumMod val="7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672863</xdr:colOff>
      <xdr:row>33</xdr:row>
      <xdr:rowOff>44137</xdr:rowOff>
    </xdr:from>
    <xdr:to>
      <xdr:col>3</xdr:col>
      <xdr:colOff>1093548</xdr:colOff>
      <xdr:row>35</xdr:row>
      <xdr:rowOff>83441</xdr:rowOff>
    </xdr:to>
    <xdr:sp macro="" textlink="">
      <xdr:nvSpPr>
        <xdr:cNvPr id="1068" name="Oval 1067">
          <a:extLst>
            <a:ext uri="{FF2B5EF4-FFF2-40B4-BE49-F238E27FC236}">
              <a16:creationId xmlns:a16="http://schemas.microsoft.com/office/drawing/2014/main" id="{8BE174A7-43AA-A3DD-A243-FA2181F47592}"/>
            </a:ext>
          </a:extLst>
        </xdr:cNvPr>
        <xdr:cNvSpPr/>
      </xdr:nvSpPr>
      <xdr:spPr>
        <a:xfrm>
          <a:off x="5321331" y="5866461"/>
          <a:ext cx="420685" cy="414938"/>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1080156</xdr:colOff>
      <xdr:row>33</xdr:row>
      <xdr:rowOff>48968</xdr:rowOff>
    </xdr:from>
    <xdr:to>
      <xdr:col>3</xdr:col>
      <xdr:colOff>5014</xdr:colOff>
      <xdr:row>35</xdr:row>
      <xdr:rowOff>88272</xdr:rowOff>
    </xdr:to>
    <xdr:sp macro="" textlink="">
      <xdr:nvSpPr>
        <xdr:cNvPr id="1069" name="Oval 1068">
          <a:extLst>
            <a:ext uri="{FF2B5EF4-FFF2-40B4-BE49-F238E27FC236}">
              <a16:creationId xmlns:a16="http://schemas.microsoft.com/office/drawing/2014/main" id="{208D6CCA-606A-0F13-695C-C443A0BEFCFC}"/>
            </a:ext>
          </a:extLst>
        </xdr:cNvPr>
        <xdr:cNvSpPr/>
      </xdr:nvSpPr>
      <xdr:spPr>
        <a:xfrm>
          <a:off x="4232797" y="5871292"/>
          <a:ext cx="420685" cy="414938"/>
        </a:xfrm>
        <a:prstGeom prst="ellipse">
          <a:avLst/>
        </a:prstGeom>
        <a:solidFill>
          <a:schemeClr val="bg1">
            <a:lumMod val="7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628129</xdr:colOff>
      <xdr:row>32</xdr:row>
      <xdr:rowOff>1555</xdr:rowOff>
    </xdr:from>
    <xdr:to>
      <xdr:col>2</xdr:col>
      <xdr:colOff>1443232</xdr:colOff>
      <xdr:row>33</xdr:row>
      <xdr:rowOff>16596</xdr:rowOff>
    </xdr:to>
    <xdr:sp macro="" textlink="">
      <xdr:nvSpPr>
        <xdr:cNvPr id="1070" name="TextBox 1069">
          <a:extLst>
            <a:ext uri="{FF2B5EF4-FFF2-40B4-BE49-F238E27FC236}">
              <a16:creationId xmlns:a16="http://schemas.microsoft.com/office/drawing/2014/main" id="{99C38516-ABAD-8F87-137D-5F3F5BD98536}"/>
            </a:ext>
          </a:extLst>
        </xdr:cNvPr>
        <xdr:cNvSpPr txBox="1"/>
      </xdr:nvSpPr>
      <xdr:spPr>
        <a:xfrm>
          <a:off x="3780770" y="5636062"/>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bg1"/>
              </a:solidFill>
              <a:latin typeface="Aptos Narrow"/>
            </a:rPr>
            <a:t>Quarter 01</a:t>
          </a:r>
          <a:endParaRPr lang="en-US" sz="900" b="1" i="0" u="none" strike="noStrike">
            <a:solidFill>
              <a:schemeClr val="bg1"/>
            </a:solidFill>
            <a:latin typeface="Aptos Narrow"/>
          </a:endParaRPr>
        </a:p>
      </xdr:txBody>
    </xdr:sp>
    <xdr:clientData/>
  </xdr:twoCellAnchor>
  <xdr:twoCellAnchor>
    <xdr:from>
      <xdr:col>4</xdr:col>
      <xdr:colOff>861021</xdr:colOff>
      <xdr:row>31</xdr:row>
      <xdr:rowOff>180786</xdr:rowOff>
    </xdr:from>
    <xdr:to>
      <xdr:col>5</xdr:col>
      <xdr:colOff>227251</xdr:colOff>
      <xdr:row>33</xdr:row>
      <xdr:rowOff>8010</xdr:rowOff>
    </xdr:to>
    <xdr:sp macro="" textlink="">
      <xdr:nvSpPr>
        <xdr:cNvPr id="1071" name="TextBox 1070">
          <a:extLst>
            <a:ext uri="{FF2B5EF4-FFF2-40B4-BE49-F238E27FC236}">
              <a16:creationId xmlns:a16="http://schemas.microsoft.com/office/drawing/2014/main" id="{2EEBAC9F-509D-285A-D544-6C969A965054}"/>
            </a:ext>
          </a:extLst>
        </xdr:cNvPr>
        <xdr:cNvSpPr txBox="1"/>
      </xdr:nvSpPr>
      <xdr:spPr>
        <a:xfrm>
          <a:off x="7072394" y="5627476"/>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bg1"/>
              </a:solidFill>
              <a:latin typeface="Aptos Narrow"/>
            </a:rPr>
            <a:t>Quarter 04</a:t>
          </a:r>
          <a:endParaRPr lang="en-US" sz="900" b="1" i="0" u="none" strike="noStrike">
            <a:solidFill>
              <a:schemeClr val="bg1"/>
            </a:solidFill>
            <a:latin typeface="Aptos Narrow"/>
          </a:endParaRPr>
        </a:p>
      </xdr:txBody>
    </xdr:sp>
    <xdr:clientData/>
  </xdr:twoCellAnchor>
  <xdr:twoCellAnchor>
    <xdr:from>
      <xdr:col>3</xdr:col>
      <xdr:colOff>1321978</xdr:colOff>
      <xdr:row>31</xdr:row>
      <xdr:rowOff>185613</xdr:rowOff>
    </xdr:from>
    <xdr:to>
      <xdr:col>4</xdr:col>
      <xdr:colOff>574176</xdr:colOff>
      <xdr:row>33</xdr:row>
      <xdr:rowOff>12837</xdr:rowOff>
    </xdr:to>
    <xdr:sp macro="" textlink="">
      <xdr:nvSpPr>
        <xdr:cNvPr id="1072" name="TextBox 1071">
          <a:extLst>
            <a:ext uri="{FF2B5EF4-FFF2-40B4-BE49-F238E27FC236}">
              <a16:creationId xmlns:a16="http://schemas.microsoft.com/office/drawing/2014/main" id="{7770CBB7-4F20-17AC-992B-8A45B6E24A87}"/>
            </a:ext>
          </a:extLst>
        </xdr:cNvPr>
        <xdr:cNvSpPr txBox="1"/>
      </xdr:nvSpPr>
      <xdr:spPr>
        <a:xfrm>
          <a:off x="5970446" y="5632303"/>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Quarter 03</a:t>
          </a:r>
          <a:endParaRPr lang="en-US" sz="900" b="1" i="0" u="none" strike="noStrike">
            <a:solidFill>
              <a:schemeClr val="tx1">
                <a:lumMod val="95000"/>
                <a:lumOff val="5000"/>
              </a:schemeClr>
            </a:solidFill>
            <a:latin typeface="Aptos Narrow"/>
          </a:endParaRPr>
        </a:p>
      </xdr:txBody>
    </xdr:sp>
    <xdr:clientData/>
  </xdr:twoCellAnchor>
  <xdr:twoCellAnchor>
    <xdr:from>
      <xdr:col>3</xdr:col>
      <xdr:colOff>186490</xdr:colOff>
      <xdr:row>32</xdr:row>
      <xdr:rowOff>2624</xdr:rowOff>
    </xdr:from>
    <xdr:to>
      <xdr:col>3</xdr:col>
      <xdr:colOff>1001593</xdr:colOff>
      <xdr:row>33</xdr:row>
      <xdr:rowOff>17665</xdr:rowOff>
    </xdr:to>
    <xdr:sp macro="" textlink="">
      <xdr:nvSpPr>
        <xdr:cNvPr id="1073" name="TextBox 1072">
          <a:extLst>
            <a:ext uri="{FF2B5EF4-FFF2-40B4-BE49-F238E27FC236}">
              <a16:creationId xmlns:a16="http://schemas.microsoft.com/office/drawing/2014/main" id="{F1DECDE0-A107-7B3A-0656-567575199186}"/>
            </a:ext>
          </a:extLst>
        </xdr:cNvPr>
        <xdr:cNvSpPr txBox="1"/>
      </xdr:nvSpPr>
      <xdr:spPr>
        <a:xfrm>
          <a:off x="4834958" y="5637131"/>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Quarter 02</a:t>
          </a:r>
          <a:endParaRPr lang="en-US" sz="900" b="1" i="0" u="none" strike="noStrike">
            <a:solidFill>
              <a:schemeClr val="tx1">
                <a:lumMod val="95000"/>
                <a:lumOff val="5000"/>
              </a:schemeClr>
            </a:solidFill>
            <a:latin typeface="Aptos Narrow"/>
          </a:endParaRPr>
        </a:p>
      </xdr:txBody>
    </xdr:sp>
    <xdr:clientData/>
  </xdr:twoCellAnchor>
  <xdr:twoCellAnchor>
    <xdr:from>
      <xdr:col>4</xdr:col>
      <xdr:colOff>865850</xdr:colOff>
      <xdr:row>30</xdr:row>
      <xdr:rowOff>178907</xdr:rowOff>
    </xdr:from>
    <xdr:to>
      <xdr:col>5</xdr:col>
      <xdr:colOff>232080</xdr:colOff>
      <xdr:row>32</xdr:row>
      <xdr:rowOff>6131</xdr:rowOff>
    </xdr:to>
    <xdr:sp macro="" textlink="Analysis!S65">
      <xdr:nvSpPr>
        <xdr:cNvPr id="1075" name="TextBox 1074">
          <a:extLst>
            <a:ext uri="{FF2B5EF4-FFF2-40B4-BE49-F238E27FC236}">
              <a16:creationId xmlns:a16="http://schemas.microsoft.com/office/drawing/2014/main" id="{02277F4C-7095-E968-9355-D887421B0966}"/>
            </a:ext>
          </a:extLst>
        </xdr:cNvPr>
        <xdr:cNvSpPr txBox="1"/>
      </xdr:nvSpPr>
      <xdr:spPr>
        <a:xfrm>
          <a:off x="7077223" y="5437780"/>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AEA91F-9EA9-4D38-8D35-8371FB811B4C}" type="TxLink">
            <a:rPr lang="en-US" sz="1100" b="1" i="0" u="none" strike="noStrike">
              <a:solidFill>
                <a:schemeClr val="bg1"/>
              </a:solidFill>
              <a:latin typeface="Aptos Narrow"/>
              <a:ea typeface="+mn-ea"/>
              <a:cs typeface="+mn-cs"/>
            </a:rPr>
            <a:pPr marL="0" indent="0"/>
            <a:t>$621.59k</a:t>
          </a:fld>
          <a:endParaRPr lang="en-US" sz="1100" b="1" i="0" u="none" strike="noStrike">
            <a:solidFill>
              <a:schemeClr val="bg1"/>
            </a:solidFill>
            <a:latin typeface="Aptos Narrow"/>
            <a:ea typeface="+mn-ea"/>
            <a:cs typeface="+mn-cs"/>
          </a:endParaRPr>
        </a:p>
      </xdr:txBody>
    </xdr:sp>
    <xdr:clientData/>
  </xdr:twoCellAnchor>
  <xdr:twoCellAnchor>
    <xdr:from>
      <xdr:col>3</xdr:col>
      <xdr:colOff>1326807</xdr:colOff>
      <xdr:row>30</xdr:row>
      <xdr:rowOff>136780</xdr:rowOff>
    </xdr:from>
    <xdr:to>
      <xdr:col>4</xdr:col>
      <xdr:colOff>579005</xdr:colOff>
      <xdr:row>31</xdr:row>
      <xdr:rowOff>151821</xdr:rowOff>
    </xdr:to>
    <xdr:sp macro="" textlink="Analysis!S64">
      <xdr:nvSpPr>
        <xdr:cNvPr id="1076" name="TextBox 1075">
          <a:extLst>
            <a:ext uri="{FF2B5EF4-FFF2-40B4-BE49-F238E27FC236}">
              <a16:creationId xmlns:a16="http://schemas.microsoft.com/office/drawing/2014/main" id="{6A52D41C-6129-DD18-67DE-357139CA7E86}"/>
            </a:ext>
          </a:extLst>
        </xdr:cNvPr>
        <xdr:cNvSpPr txBox="1"/>
      </xdr:nvSpPr>
      <xdr:spPr>
        <a:xfrm>
          <a:off x="5975275" y="5395653"/>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40EABF-4D51-4C80-82F3-319C12630B6B}" type="TxLink">
            <a:rPr lang="en-US" sz="1100" b="1" i="0" u="none" strike="noStrike">
              <a:solidFill>
                <a:srgbClr val="000000"/>
              </a:solidFill>
              <a:latin typeface="Aptos Narrow"/>
              <a:ea typeface="+mn-ea"/>
              <a:cs typeface="+mn-cs"/>
            </a:rPr>
            <a:pPr marL="0" indent="0"/>
            <a:t>$613.19k</a:t>
          </a:fld>
          <a:endParaRPr lang="en-US" sz="1100" b="1" i="0" u="none" strike="noStrike">
            <a:solidFill>
              <a:srgbClr val="000000"/>
            </a:solidFill>
            <a:latin typeface="Aptos Narrow"/>
            <a:ea typeface="+mn-ea"/>
            <a:cs typeface="+mn-cs"/>
          </a:endParaRPr>
        </a:p>
      </xdr:txBody>
    </xdr:sp>
    <xdr:clientData/>
  </xdr:twoCellAnchor>
  <xdr:twoCellAnchor>
    <xdr:from>
      <xdr:col>3</xdr:col>
      <xdr:colOff>224858</xdr:colOff>
      <xdr:row>30</xdr:row>
      <xdr:rowOff>181854</xdr:rowOff>
    </xdr:from>
    <xdr:to>
      <xdr:col>3</xdr:col>
      <xdr:colOff>1039961</xdr:colOff>
      <xdr:row>32</xdr:row>
      <xdr:rowOff>9078</xdr:rowOff>
    </xdr:to>
    <xdr:sp macro="" textlink="Analysis!S63">
      <xdr:nvSpPr>
        <xdr:cNvPr id="1077" name="TextBox 1076">
          <a:extLst>
            <a:ext uri="{FF2B5EF4-FFF2-40B4-BE49-F238E27FC236}">
              <a16:creationId xmlns:a16="http://schemas.microsoft.com/office/drawing/2014/main" id="{85BE2EB4-2F24-F29B-EA57-EA7A8316D3E8}"/>
            </a:ext>
          </a:extLst>
        </xdr:cNvPr>
        <xdr:cNvSpPr txBox="1"/>
      </xdr:nvSpPr>
      <xdr:spPr>
        <a:xfrm>
          <a:off x="4873326" y="5440727"/>
          <a:ext cx="815103"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652300-BD6B-4822-8363-7EE39363E0F4}" type="TxLink">
            <a:rPr lang="en-US" sz="1100" b="1" i="0" u="none" strike="noStrike">
              <a:solidFill>
                <a:srgbClr val="000000"/>
              </a:solidFill>
              <a:latin typeface="Aptos Narrow"/>
            </a:rPr>
            <a:t>$492.53k</a:t>
          </a:fld>
          <a:endParaRPr lang="en-US" sz="900" b="1" i="0" u="none" strike="noStrike">
            <a:solidFill>
              <a:schemeClr val="tx1">
                <a:lumMod val="95000"/>
                <a:lumOff val="5000"/>
              </a:schemeClr>
            </a:solidFill>
            <a:latin typeface="Aptos Narrow"/>
          </a:endParaRPr>
        </a:p>
      </xdr:txBody>
    </xdr:sp>
    <xdr:clientData/>
  </xdr:twoCellAnchor>
  <xdr:twoCellAnchor>
    <xdr:from>
      <xdr:col>2</xdr:col>
      <xdr:colOff>723722</xdr:colOff>
      <xdr:row>30</xdr:row>
      <xdr:rowOff>152915</xdr:rowOff>
    </xdr:from>
    <xdr:to>
      <xdr:col>2</xdr:col>
      <xdr:colOff>1348170</xdr:colOff>
      <xdr:row>31</xdr:row>
      <xdr:rowOff>171869</xdr:rowOff>
    </xdr:to>
    <xdr:sp macro="" textlink="Analysis!S62">
      <xdr:nvSpPr>
        <xdr:cNvPr id="1078" name="TextBox 1077">
          <a:extLst>
            <a:ext uri="{FF2B5EF4-FFF2-40B4-BE49-F238E27FC236}">
              <a16:creationId xmlns:a16="http://schemas.microsoft.com/office/drawing/2014/main" id="{263FFD69-673D-7BA8-EB9E-402AD873B4E7}"/>
            </a:ext>
          </a:extLst>
        </xdr:cNvPr>
        <xdr:cNvSpPr txBox="1"/>
      </xdr:nvSpPr>
      <xdr:spPr>
        <a:xfrm>
          <a:off x="3876363" y="5411788"/>
          <a:ext cx="624448" cy="20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F0BC74-EB19-46AD-B72A-703C366E6F7B}" type="TxLink">
            <a:rPr lang="en-US" sz="1100" b="1" i="0" u="none" strike="noStrike">
              <a:solidFill>
                <a:schemeClr val="bg1"/>
              </a:solidFill>
              <a:latin typeface="Aptos Narrow"/>
            </a:rPr>
            <a:t>$479.79k</a:t>
          </a:fld>
          <a:endParaRPr lang="en-GB" sz="1100" b="1">
            <a:solidFill>
              <a:schemeClr val="bg1"/>
            </a:solidFill>
          </a:endParaRPr>
        </a:p>
      </xdr:txBody>
    </xdr:sp>
    <xdr:clientData/>
  </xdr:twoCellAnchor>
  <xdr:twoCellAnchor>
    <xdr:from>
      <xdr:col>2</xdr:col>
      <xdr:colOff>1115112</xdr:colOff>
      <xdr:row>33</xdr:row>
      <xdr:rowOff>126313</xdr:rowOff>
    </xdr:from>
    <xdr:to>
      <xdr:col>3</xdr:col>
      <xdr:colOff>207941</xdr:colOff>
      <xdr:row>35</xdr:row>
      <xdr:rowOff>53662</xdr:rowOff>
    </xdr:to>
    <xdr:sp macro="" textlink="Analysis!Q62">
      <xdr:nvSpPr>
        <xdr:cNvPr id="1080" name="TextBox 1079">
          <a:extLst>
            <a:ext uri="{FF2B5EF4-FFF2-40B4-BE49-F238E27FC236}">
              <a16:creationId xmlns:a16="http://schemas.microsoft.com/office/drawing/2014/main" id="{26293959-8D72-6575-D73A-C12F8ABB4E45}"/>
            </a:ext>
          </a:extLst>
        </xdr:cNvPr>
        <xdr:cNvSpPr txBox="1"/>
      </xdr:nvSpPr>
      <xdr:spPr>
        <a:xfrm>
          <a:off x="4267753" y="5948637"/>
          <a:ext cx="588656" cy="30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0EF4DB-4552-4BFE-9A8D-FD096F54EEC3}" type="TxLink">
            <a:rPr lang="en-US" sz="1000" b="1" i="0" u="none" strike="noStrike">
              <a:solidFill>
                <a:srgbClr val="000000"/>
              </a:solidFill>
              <a:latin typeface="Aptos Narrow"/>
            </a:rPr>
            <a:t>22%</a:t>
          </a:fld>
          <a:endParaRPr lang="en-US" sz="1000" b="1" i="0" u="none" strike="noStrike">
            <a:solidFill>
              <a:schemeClr val="tx1">
                <a:lumMod val="95000"/>
                <a:lumOff val="5000"/>
              </a:schemeClr>
            </a:solidFill>
            <a:latin typeface="Aptos Narrow"/>
          </a:endParaRPr>
        </a:p>
      </xdr:txBody>
    </xdr:sp>
    <xdr:clientData/>
  </xdr:twoCellAnchor>
  <xdr:twoCellAnchor>
    <xdr:from>
      <xdr:col>3</xdr:col>
      <xdr:colOff>704064</xdr:colOff>
      <xdr:row>33</xdr:row>
      <xdr:rowOff>137849</xdr:rowOff>
    </xdr:from>
    <xdr:to>
      <xdr:col>3</xdr:col>
      <xdr:colOff>1292720</xdr:colOff>
      <xdr:row>35</xdr:row>
      <xdr:rowOff>65198</xdr:rowOff>
    </xdr:to>
    <xdr:sp macro="" textlink="Analysis!Q63">
      <xdr:nvSpPr>
        <xdr:cNvPr id="1081" name="TextBox 1080">
          <a:extLst>
            <a:ext uri="{FF2B5EF4-FFF2-40B4-BE49-F238E27FC236}">
              <a16:creationId xmlns:a16="http://schemas.microsoft.com/office/drawing/2014/main" id="{96E2899A-F458-B1D4-3118-0A80FEAB1090}"/>
            </a:ext>
          </a:extLst>
        </xdr:cNvPr>
        <xdr:cNvSpPr txBox="1"/>
      </xdr:nvSpPr>
      <xdr:spPr>
        <a:xfrm>
          <a:off x="5352532" y="5960173"/>
          <a:ext cx="588656" cy="30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09B55B2-04D9-4722-8073-CB56A62DB716}" type="TxLink">
            <a:rPr lang="en-US" sz="1000" b="1" i="0" u="none" strike="noStrike">
              <a:solidFill>
                <a:srgbClr val="000000"/>
              </a:solidFill>
              <a:latin typeface="Aptos Narrow"/>
              <a:ea typeface="+mn-ea"/>
              <a:cs typeface="+mn-cs"/>
            </a:rPr>
            <a:pPr marL="0" indent="0"/>
            <a:t>22%</a:t>
          </a:fld>
          <a:endParaRPr lang="en-US" sz="1000" b="1" i="0" u="none" strike="noStrike">
            <a:solidFill>
              <a:srgbClr val="000000"/>
            </a:solidFill>
            <a:latin typeface="Aptos Narrow"/>
            <a:ea typeface="+mn-ea"/>
            <a:cs typeface="+mn-cs"/>
          </a:endParaRPr>
        </a:p>
      </xdr:txBody>
    </xdr:sp>
    <xdr:clientData/>
  </xdr:twoCellAnchor>
  <xdr:twoCellAnchor>
    <xdr:from>
      <xdr:col>4</xdr:col>
      <xdr:colOff>225938</xdr:colOff>
      <xdr:row>33</xdr:row>
      <xdr:rowOff>149385</xdr:rowOff>
    </xdr:from>
    <xdr:to>
      <xdr:col>4</xdr:col>
      <xdr:colOff>814594</xdr:colOff>
      <xdr:row>35</xdr:row>
      <xdr:rowOff>76734</xdr:rowOff>
    </xdr:to>
    <xdr:sp macro="" textlink="Analysis!Q64">
      <xdr:nvSpPr>
        <xdr:cNvPr id="1082" name="TextBox 1081">
          <a:extLst>
            <a:ext uri="{FF2B5EF4-FFF2-40B4-BE49-F238E27FC236}">
              <a16:creationId xmlns:a16="http://schemas.microsoft.com/office/drawing/2014/main" id="{3597033D-D1EB-6862-0202-E1B542949782}"/>
            </a:ext>
          </a:extLst>
        </xdr:cNvPr>
        <xdr:cNvSpPr txBox="1"/>
      </xdr:nvSpPr>
      <xdr:spPr>
        <a:xfrm>
          <a:off x="6437311" y="5971709"/>
          <a:ext cx="588656" cy="30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25091B-4936-45D8-BFFB-F2035B8E8D93}" type="TxLink">
            <a:rPr lang="en-US" sz="1000" b="1" i="0" u="none" strike="noStrike">
              <a:solidFill>
                <a:srgbClr val="000000"/>
              </a:solidFill>
              <a:latin typeface="Aptos Narrow"/>
              <a:ea typeface="+mn-ea"/>
              <a:cs typeface="+mn-cs"/>
            </a:rPr>
            <a:pPr marL="0" indent="0"/>
            <a:t>28%</a:t>
          </a:fld>
          <a:endParaRPr lang="en-US" sz="1000" b="1" i="0" u="none" strike="noStrike">
            <a:solidFill>
              <a:srgbClr val="000000"/>
            </a:solidFill>
            <a:latin typeface="Aptos Narrow"/>
            <a:ea typeface="+mn-ea"/>
            <a:cs typeface="+mn-cs"/>
          </a:endParaRPr>
        </a:p>
      </xdr:txBody>
    </xdr:sp>
    <xdr:clientData/>
  </xdr:twoCellAnchor>
  <xdr:twoCellAnchor>
    <xdr:from>
      <xdr:col>4</xdr:col>
      <xdr:colOff>1310717</xdr:colOff>
      <xdr:row>33</xdr:row>
      <xdr:rowOff>160921</xdr:rowOff>
    </xdr:from>
    <xdr:to>
      <xdr:col>5</xdr:col>
      <xdr:colOff>450500</xdr:colOff>
      <xdr:row>35</xdr:row>
      <xdr:rowOff>88270</xdr:rowOff>
    </xdr:to>
    <xdr:sp macro="" textlink="Analysis!Q65">
      <xdr:nvSpPr>
        <xdr:cNvPr id="1083" name="TextBox 1082">
          <a:extLst>
            <a:ext uri="{FF2B5EF4-FFF2-40B4-BE49-F238E27FC236}">
              <a16:creationId xmlns:a16="http://schemas.microsoft.com/office/drawing/2014/main" id="{F7BCFC8F-0682-8D3E-71FC-EA7209FC4621}"/>
            </a:ext>
          </a:extLst>
        </xdr:cNvPr>
        <xdr:cNvSpPr txBox="1"/>
      </xdr:nvSpPr>
      <xdr:spPr>
        <a:xfrm>
          <a:off x="7522090" y="5983245"/>
          <a:ext cx="588656" cy="30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D26EBF-32C9-43EB-9998-409C1393A4FD}" type="TxLink">
            <a:rPr lang="en-US" sz="1000" b="1" i="0" u="none" strike="noStrike">
              <a:solidFill>
                <a:srgbClr val="000000"/>
              </a:solidFill>
              <a:latin typeface="Aptos Narrow"/>
              <a:ea typeface="+mn-ea"/>
              <a:cs typeface="+mn-cs"/>
            </a:rPr>
            <a:pPr marL="0" indent="0"/>
            <a:t>28%</a:t>
          </a:fld>
          <a:endParaRPr lang="en-US" sz="1000" b="1" i="0" u="none" strike="noStrike">
            <a:solidFill>
              <a:srgbClr val="000000"/>
            </a:solidFill>
            <a:latin typeface="Aptos Narrow"/>
            <a:ea typeface="+mn-ea"/>
            <a:cs typeface="+mn-cs"/>
          </a:endParaRPr>
        </a:p>
      </xdr:txBody>
    </xdr:sp>
    <xdr:clientData/>
  </xdr:twoCellAnchor>
  <xdr:twoCellAnchor>
    <xdr:from>
      <xdr:col>2</xdr:col>
      <xdr:colOff>547635</xdr:colOff>
      <xdr:row>27</xdr:row>
      <xdr:rowOff>21678</xdr:rowOff>
    </xdr:from>
    <xdr:to>
      <xdr:col>3</xdr:col>
      <xdr:colOff>798222</xdr:colOff>
      <xdr:row>28</xdr:row>
      <xdr:rowOff>36720</xdr:rowOff>
    </xdr:to>
    <xdr:sp macro="" textlink="">
      <xdr:nvSpPr>
        <xdr:cNvPr id="1084" name="TextBox 1083">
          <a:extLst>
            <a:ext uri="{FF2B5EF4-FFF2-40B4-BE49-F238E27FC236}">
              <a16:creationId xmlns:a16="http://schemas.microsoft.com/office/drawing/2014/main" id="{A7A06814-72D2-8F8B-5489-8B722D55D5ED}"/>
            </a:ext>
          </a:extLst>
        </xdr:cNvPr>
        <xdr:cNvSpPr txBox="1"/>
      </xdr:nvSpPr>
      <xdr:spPr>
        <a:xfrm>
          <a:off x="3700276" y="4717101"/>
          <a:ext cx="1746414" cy="20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u="none" strike="noStrike">
              <a:solidFill>
                <a:schemeClr val="tx1">
                  <a:lumMod val="95000"/>
                  <a:lumOff val="5000"/>
                </a:schemeClr>
              </a:solidFill>
              <a:latin typeface="Aptos Narrow"/>
            </a:rPr>
            <a:t>Quaterly view by</a:t>
          </a:r>
          <a:r>
            <a:rPr lang="en-US" sz="900" b="0" i="0" u="none" strike="noStrike" baseline="0">
              <a:solidFill>
                <a:schemeClr val="tx1">
                  <a:lumMod val="95000"/>
                  <a:lumOff val="5000"/>
                </a:schemeClr>
              </a:solidFill>
              <a:latin typeface="Aptos Narrow"/>
            </a:rPr>
            <a:t> </a:t>
          </a:r>
          <a:r>
            <a:rPr lang="en-US" sz="900" b="1" i="0" u="none" strike="noStrike">
              <a:solidFill>
                <a:schemeClr val="tx1">
                  <a:lumMod val="95000"/>
                  <a:lumOff val="5000"/>
                </a:schemeClr>
              </a:solidFill>
              <a:latin typeface="Aptos Narrow"/>
            </a:rPr>
            <a:t>Profit</a:t>
          </a:r>
        </a:p>
      </xdr:txBody>
    </xdr:sp>
    <xdr:clientData/>
  </xdr:twoCellAnchor>
  <xdr:twoCellAnchor>
    <xdr:from>
      <xdr:col>5</xdr:col>
      <xdr:colOff>609789</xdr:colOff>
      <xdr:row>27</xdr:row>
      <xdr:rowOff>21879</xdr:rowOff>
    </xdr:from>
    <xdr:to>
      <xdr:col>11</xdr:col>
      <xdr:colOff>311213</xdr:colOff>
      <xdr:row>36</xdr:row>
      <xdr:rowOff>83837</xdr:rowOff>
    </xdr:to>
    <xdr:sp macro="" textlink="">
      <xdr:nvSpPr>
        <xdr:cNvPr id="1085" name="Rectangle: Rounded Corners 1084">
          <a:extLst>
            <a:ext uri="{FF2B5EF4-FFF2-40B4-BE49-F238E27FC236}">
              <a16:creationId xmlns:a16="http://schemas.microsoft.com/office/drawing/2014/main" id="{7D946F17-21BD-B1E1-1F1B-7F9099C703D7}"/>
            </a:ext>
          </a:extLst>
        </xdr:cNvPr>
        <xdr:cNvSpPr/>
      </xdr:nvSpPr>
      <xdr:spPr>
        <a:xfrm>
          <a:off x="8276942" y="4737226"/>
          <a:ext cx="4209296" cy="175948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5</xdr:col>
      <xdr:colOff>801608</xdr:colOff>
      <xdr:row>27</xdr:row>
      <xdr:rowOff>179184</xdr:rowOff>
    </xdr:from>
    <xdr:to>
      <xdr:col>11</xdr:col>
      <xdr:colOff>141459</xdr:colOff>
      <xdr:row>35</xdr:row>
      <xdr:rowOff>169753</xdr:rowOff>
    </xdr:to>
    <mc:AlternateContent xmlns:mc="http://schemas.openxmlformats.org/markup-compatibility/2006">
      <mc:Choice xmlns:a14="http://schemas.microsoft.com/office/drawing/2010/main" Requires="a14">
        <xdr:graphicFrame macro="">
          <xdr:nvGraphicFramePr>
            <xdr:cNvPr id="1086" name="Country">
              <a:extLst>
                <a:ext uri="{FF2B5EF4-FFF2-40B4-BE49-F238E27FC236}">
                  <a16:creationId xmlns:a16="http://schemas.microsoft.com/office/drawing/2014/main" id="{92550391-A2B6-4EA0-9CCB-1CE292A7107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468761" y="4894531"/>
              <a:ext cx="3847723" cy="1499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414950</xdr:colOff>
      <xdr:row>0</xdr:row>
      <xdr:rowOff>28292</xdr:rowOff>
    </xdr:from>
    <xdr:to>
      <xdr:col>3</xdr:col>
      <xdr:colOff>28291</xdr:colOff>
      <xdr:row>2</xdr:row>
      <xdr:rowOff>113168</xdr:rowOff>
    </xdr:to>
    <xdr:sp macro="" textlink="">
      <xdr:nvSpPr>
        <xdr:cNvPr id="1087" name="TextBox 1086">
          <a:extLst>
            <a:ext uri="{FF2B5EF4-FFF2-40B4-BE49-F238E27FC236}">
              <a16:creationId xmlns:a16="http://schemas.microsoft.com/office/drawing/2014/main" id="{E97ABEE8-FCEA-63B0-673E-8F1EEF813037}"/>
            </a:ext>
          </a:extLst>
        </xdr:cNvPr>
        <xdr:cNvSpPr txBox="1"/>
      </xdr:nvSpPr>
      <xdr:spPr>
        <a:xfrm>
          <a:off x="414950" y="28292"/>
          <a:ext cx="4262673" cy="462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rgbClr val="59C7E9"/>
              </a:solidFill>
            </a:rPr>
            <a:t>Adventure</a:t>
          </a:r>
          <a:r>
            <a:rPr lang="en-GB" sz="2000"/>
            <a:t>  </a:t>
          </a:r>
          <a:r>
            <a:rPr lang="en-GB" sz="2000" b="1"/>
            <a:t>Works</a:t>
          </a:r>
          <a:r>
            <a:rPr lang="en-GB" sz="2000"/>
            <a:t>  Sales </a:t>
          </a:r>
          <a:r>
            <a:rPr lang="en-GB" sz="2000" baseline="0"/>
            <a:t> Analysis</a:t>
          </a:r>
          <a:endParaRPr lang="en-GB" sz="20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268518515" createdVersion="8" refreshedVersion="8" minRefreshableVersion="3" recordCount="0" supportSubquery="1" supportAdvancedDrill="1" xr:uid="{6D377721-D508-4CC5-87B5-696827FBF449}">
  <cacheSource type="external" connectionId="8"/>
  <cacheFields count="8">
    <cacheField name="[Measures].[#transctions]" caption="#transctions" numFmtId="0" hierarchy="42" level="32767"/>
    <cacheField name="[Measures].[Sum of Total  Revenue]" caption="Sum of Total  Revenue" numFmtId="0" hierarchy="56" level="32767"/>
    <cacheField name="[Measures].[Sum of Profit]" caption="Sum of Profit" numFmtId="0" hierarchy="57" level="32767"/>
    <cacheField name="[Measures].[Sum of COGS]" caption="Sum of COGS" numFmtId="0" hierarchy="58" level="32767"/>
    <cacheField name="[Measures].[Sum of OrderQuantity]" caption="Sum of OrderQuantity" numFmtId="0" hierarchy="59" level="32767"/>
    <cacheField name="[Measures].[%mergin_profit]" caption="%mergin_profit" numFmtId="0" hierarchy="43"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oneField="1">
      <fieldsUsage count="1">
        <fieldUsage x="0"/>
      </fieldsUsage>
    </cacheHierarchy>
    <cacheHierarchy uniqueName="[Measures].[%mergin_profit]" caption="%mergin_profit" measure="1" displayFolder="" measureGroup="A" count="0" oneField="1">
      <fieldsUsage count="1">
        <fieldUsage x="5"/>
      </fieldsUsage>
    </cacheHierarchy>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290624999" createdVersion="8" refreshedVersion="8" minRefreshableVersion="3" recordCount="0" supportSubquery="1" supportAdvancedDrill="1" xr:uid="{8860E105-4DCD-44B5-9C36-C6AC994FE1AD}">
  <cacheSource type="external" connectionId="8"/>
  <cacheFields count="5">
    <cacheField name="[Measures].[#transctions]" caption="#transctions" numFmtId="0" hierarchy="42" level="32767"/>
    <cacheField name="[Measures].[Sum of Total  Revenue]" caption="Sum of Total  Revenue" numFmtId="0" hierarchy="56" level="32767"/>
    <cacheField name="[Measures].[Sum of Profit]" caption="Sum of Profit" numFmtId="0" hierarchy="57"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ame]" caption="Month Name" attribute="1" defaultMemberUniqueName="[DimDate].[Month Name].[All]" allUniqueName="[DimDate].[Month Name].[All]" dimensionUniqueName="[DimDate]" displayFolder="" count="0" memberValueDatatype="130" unbalanced="0"/>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oneField="1">
      <fieldsUsage count="1">
        <fieldUsage x="0"/>
      </fieldsUsage>
    </cacheHierarchy>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2476851" createdVersion="8" refreshedVersion="8" minRefreshableVersion="3" recordCount="0" supportSubquery="1" supportAdvancedDrill="1" xr:uid="{06100F23-8ACD-4DE7-B75B-3B455744D5E4}">
  <cacheSource type="external" connectionId="8"/>
  <cacheFields count="12">
    <cacheField name="[Measures].[#transctions]" caption="#transctions" numFmtId="0" hierarchy="42" level="32767"/>
    <cacheField name="[Measures].[Sum of Total  Revenue]" caption="Sum of Total  Revenue" numFmtId="0" hierarchy="56" level="32767"/>
    <cacheField name="[Measures].[Sum of Profit]" caption="Sum of Profit" numFmtId="0" hierarchy="57" level="32767"/>
    <cacheField name="[Measures].[Sum of COGS]" caption="Sum of COGS" numFmtId="0" hierarchy="58" level="32767"/>
    <cacheField name="[Measures].[Sum of OrderQuantity]" caption="Sum of OrderQuantity" numFmtId="0" hierarchy="59" level="32767"/>
    <cacheField name="[Measures].[%mergin_profit]" caption="%mergin_profit" numFmtId="0" hierarchy="43" level="32767"/>
    <cacheField name="[Measures].[all products]" caption="all products" numFmtId="0" hierarchy="44" level="32767"/>
    <cacheField name="[Measures].[soldproducts]" caption="soldproducts" numFmtId="0" hierarchy="45" level="32767"/>
    <cacheField name="[Measures].[Unsold]" caption="Unsold" numFmtId="0" hierarchy="46" level="32767"/>
    <cacheField name="[DimDate].[Year].[Year]" caption="Year" numFmtId="0" hierarchy="8" level="1">
      <sharedItems containsSemiMixedTypes="0" containsNonDate="0" containsString="0"/>
    </cacheField>
    <cacheField name="[DimGeography].[Country].[Country]" caption="Country" numFmtId="0" hierarchy="19" level="1">
      <sharedItems containsSemiMixedTypes="0" containsNonDate="0" containsString="0"/>
    </cacheField>
    <cacheField name="[DimDate].[Month Name].[Month Name]" caption="Month Name" numFmtId="0" hierarchy="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1"/>
      </fieldsUsage>
    </cacheHierarchy>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oneField="1">
      <fieldsUsage count="1">
        <fieldUsage x="0"/>
      </fieldsUsage>
    </cacheHierarchy>
    <cacheHierarchy uniqueName="[Measures].[%mergin_profit]" caption="%mergin_profit" measure="1" displayFolder="" measureGroup="A" count="0" oneField="1">
      <fieldsUsage count="1">
        <fieldUsage x="5"/>
      </fieldsUsage>
    </cacheHierarchy>
    <cacheHierarchy uniqueName="[Measures].[all products]" caption="all products" measure="1" displayFolder="" measureGroup="A" count="0" oneField="1">
      <fieldsUsage count="1">
        <fieldUsage x="6"/>
      </fieldsUsage>
    </cacheHierarchy>
    <cacheHierarchy uniqueName="[Measures].[soldproducts]" caption="soldproducts" measure="1" displayFolder="" measureGroup="A" count="0" oneField="1">
      <fieldsUsage count="1">
        <fieldUsage x="7"/>
      </fieldsUsage>
    </cacheHierarchy>
    <cacheHierarchy uniqueName="[Measures].[Unsold]" caption="Unsold" measure="1" displayFolder="" measureGroup="A"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2824074" createdVersion="8" refreshedVersion="8" minRefreshableVersion="3" recordCount="0" supportSubquery="1" supportAdvancedDrill="1" xr:uid="{2825A3F2-885B-425F-AB5A-6F5CC0D8EE1A}">
  <cacheSource type="external" connectionId="8"/>
  <cacheFields count="1">
    <cacheField name="[DimDate].[Year].[Year]" caption="Year" numFmtId="0" hierarchy="8"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ame]" caption="Month Name" attribute="1" defaultMemberUniqueName="[DimDate].[Month Name].[All]" allUniqueName="[DimDate].[Month Name].[All]" dimensionUniqueName="[DimDate]" displayFolder="" count="0" memberValueDatatype="130" unbalanced="0"/>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3402775" createdVersion="8" refreshedVersion="8" minRefreshableVersion="3" recordCount="0" supportSubquery="1" supportAdvancedDrill="1" xr:uid="{898B04DF-76DA-432A-BC67-FF72344D2644}">
  <cacheSource type="external" connectionId="8"/>
  <cacheFields count="4">
    <cacheField name="[Measures].[Sum of Profit]" caption="Sum of Profit" numFmtId="0" hierarchy="57" level="32767"/>
    <cacheField name="[DimDate].[Year].[Year]" caption="Year" numFmtId="0" hierarchy="8" level="1">
      <sharedItems containsSemiMixedTypes="0" containsNonDate="0" containsString="0"/>
    </cacheField>
    <cacheField name="[DimDate].[Month Name].[Month Name]" caption="Month Name" numFmtId="0" hierarchy="9"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3749998" createdVersion="8" refreshedVersion="8" minRefreshableVersion="3" recordCount="0" supportSubquery="1" supportAdvancedDrill="1" xr:uid="{DB8F96A2-1388-46AD-9149-593273D697E4}">
  <cacheSource type="external" connectionId="8"/>
  <cacheFields count="5">
    <cacheField name="[Measures].[Sum of Profit]" caption="Sum of Profit" numFmtId="0" hierarchy="57"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Date].[Month Name].[Month Name]" caption="Month Name" numFmtId="0" hierarchy="9" level="1">
      <sharedItems containsSemiMixedTypes="0" containsNonDate="0" containsString="0"/>
    </cacheField>
    <cacheField name="[DimGeography].[Country].[Country]" caption="Country" numFmtId="0" hierarchy="1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ame]" caption="Month Name" attribute="1" defaultMemberUniqueName="[DimDate].[Month Name].[All]" allUniqueName="[DimDate].[Month Name].[All]" dimensionUniqueName="[DimDate]" displayFolder="" count="2" memberValueDatatype="130" unbalanced="0">
      <fieldsUsage count="2">
        <fieldUsage x="-1"/>
        <fieldUsage x="3"/>
      </fieldsUsage>
    </cacheHierarchy>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4444444" createdVersion="8" refreshedVersion="8" minRefreshableVersion="3" recordCount="0" supportSubquery="1" supportAdvancedDrill="1" xr:uid="{F665B0C2-EC13-4E9A-B73C-3EE48775B0B0}">
  <cacheSource type="external" connectionId="8"/>
  <cacheFields count="5">
    <cacheField name="[Measures].[Sum of Profit]" caption="Sum of Profit" numFmtId="0" hierarchy="57" level="32767"/>
    <cacheField name="[DimDate].[Year].[Year]" caption="Year" numFmtId="0" hierarchy="8" level="1">
      <sharedItems containsSemiMixedTypes="0" containsNonDate="0" containsString="0"/>
    </cacheField>
    <cacheField name="[DimDate].[Month Name].[Month Name]" caption="Month Name" numFmtId="0" hierarchy="9" level="1">
      <sharedItems containsSemiMixedTypes="0" containsNonDate="0" containsString="0"/>
    </cacheField>
    <cacheField name="[DimDate].[week type].[week type]" caption="week type" numFmtId="0" hierarchy="12" level="1">
      <sharedItems count="2">
        <s v="Weekday"/>
        <s v="Weekend"/>
      </sharedItems>
    </cacheField>
    <cacheField name="[DimGeography].[Country].[Country]" caption="Country" numFmtId="0" hierarchy="1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32694907406" createdVersion="8" refreshedVersion="8" minRefreshableVersion="3" recordCount="0" supportSubquery="1" supportAdvancedDrill="1" xr:uid="{775CE603-DEDC-4E38-B623-286112097F39}">
  <cacheSource type="external" connectionId="8"/>
  <cacheFields count="4">
    <cacheField name="[Measures].[Sum of Profit]" caption="Sum of Profit" numFmtId="0" hierarchy="57" level="32767"/>
    <cacheField name="[DimDate].[Year].[Year]" caption="Year" numFmtId="0" hierarchy="8" level="1">
      <sharedItems containsSemiMixedTypes="0" containsNonDate="0" containsString="0"/>
    </cacheField>
    <cacheField name="[DimDate].[Quarter].[Quarter]" caption="Quarter" numFmtId="0" hierarchy="13" level="1">
      <sharedItems count="4">
        <s v="Qtr-1"/>
        <s v="Qtr-2"/>
        <s v="Qtr-3"/>
        <s v="Qtr-4"/>
      </sharedItems>
    </cacheField>
    <cacheField name="[DimGeography].[Country].[Country]" caption="Country" numFmtId="0" hierarchy="19" level="1">
      <sharedItems containsSemiMixedTypes="0" containsNonDate="0" containsString="0"/>
    </cacheField>
  </cacheFields>
  <cacheHierarchies count="62">
    <cacheHierarchy uniqueName="[A].[measures]" caption="measures" attribute="1" defaultMemberUniqueName="[A].[measures].[All]" allUniqueName="[A].[measures].[All]" dimensionUniqueName="[A]"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ame]" caption="Month Name" attribute="1" defaultMemberUniqueName="[DimDate].[Month Name].[All]" allUniqueName="[DimDate].[Month Name].[All]" dimensionUniqueName="[DimDate]" displayFolder="" count="2" memberValueDatatype="130" unbalanced="0"/>
    <cacheHierarchy uniqueName="[DimDate].[Month Num]" caption="Month Num" attribute="1" defaultMemberUniqueName="[DimDate].[Month Num].[All]" allUniqueName="[DimDate].[Month Num].[All]" dimensionUniqueName="[DimDate]" displayFolder="" count="2" memberValueDatatype="20" unbalanced="0"/>
    <cacheHierarchy uniqueName="[DimDate].[Day Name]" caption="Day Name" attribute="1" defaultMemberUniqueName="[DimDate].[Day Name].[All]" allUniqueName="[DimDate].[Day Name].[All]" dimensionUniqueName="[DimDate]" displayFolder="" count="2" memberValueDatatype="130" unbalanced="0"/>
    <cacheHierarchy uniqueName="[DimDate].[week type]" caption="week type" attribute="1" defaultMemberUniqueName="[DimDate].[week type].[All]" allUniqueName="[DimDate].[week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caption="Day" attribute="1" defaultMemberUniqueName="[DimDate].[Day].[All]" allUniqueName="[DimDate].[Day].[All]" dimensionUniqueName="[DimDate]" displayFolder="" count="2" memberValueDatatype="20" unbalanced="0"/>
    <cacheHierarchy uniqueName="[DimDate].[Day of Week]" caption="Day of Week" attribute="1" defaultMemberUniqueName="[DimDate].[Day of Week].[All]" allUniqueName="[DimDate].[Day of Week].[All]" dimensionUniqueName="[DimDate]" displayFolder="" count="2" memberValueDatatype="20" unbalanced="0"/>
    <cacheHierarchy uniqueName="[DimDate].[Quarter.1]" caption="Quarter.1" attribute="1" defaultMemberUniqueName="[DimDate].[Quarter.1].[All]" allUniqueName="[DimDate].[Quarter.1].[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s Name]" caption="Products Name" attribute="1" defaultMemberUniqueName="[DimProduct].[Products Name].[All]" allUniqueName="[DimProduct].[Products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Profit]" caption="Profit" attribute="1" defaultMemberUniqueName="[FactInternetSales].[Profit].[All]" allUniqueName="[FactInternetSales].[Profit].[All]" dimensionUniqueName="[FactInternetSales]" displayFolder="" count="2"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dimensions count="8">
    <dimension name="A" uniqueName="[A]" caption="A"/>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 caption="A"/>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02982986115" createdVersion="3" refreshedVersion="8" minRefreshableVersion="3" recordCount="0" supportSubquery="1" supportAdvancedDrill="1" xr:uid="{D2867DC3-1BF7-4CF7-916B-39ED6058340F}">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51357630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if" refreshedDate="45581.628865393519" createdVersion="3" refreshedVersion="8" minRefreshableVersion="3" recordCount="0" supportSubquery="1" supportAdvancedDrill="1" xr:uid="{7A6B4AA0-A7BD-45FE-A16C-BACB1F4F6340}">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measures]" caption="measures" attribute="1" defaultMemberUniqueName="[A].[measures].[All]" allUniqueName="[A].[measures].[All]" dimensionUniqueName="[A]"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 caption="Month Num" attribute="1" defaultMemberUniqueName="[DimDate].[Month Num].[All]" allUniqueName="[DimDate].[Month Num].[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Date].[Quarter.1]" caption="Quarter.1" attribute="1" defaultMemberUniqueName="[DimDate].[Quarter.1].[All]" allUniqueName="[DimDate].[Quarter.1].[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Measures].[#transctions]" caption="#transctions" measure="1" displayFolder="" measureGroup="A" count="0"/>
    <cacheHierarchy uniqueName="[Measures].[%mergin_profit]" caption="%mergin_profit" measure="1" displayFolder="" measureGroup="A" count="0"/>
    <cacheHierarchy uniqueName="[Measures].[all products]" caption="all products" measure="1" displayFolder="" measureGroup="A" count="0"/>
    <cacheHierarchy uniqueName="[Measures].[soldproducts]" caption="soldproducts" measure="1" displayFolder="" measureGroup="A" count="0"/>
    <cacheHierarchy uniqueName="[Measures].[Unsold]" caption="Unsold" measure="1" displayFolder="" measureGroup="A"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 caption="__XL_Count A" measure="1" displayFolder="" measureGroup="A" count="0" hidden="1"/>
    <cacheHierarchy uniqueName="[Measures].[__No measures defined]" caption="__No measures defined" measure="1" displayFolder="" count="0" hidden="1"/>
    <cacheHierarchy uniqueName="[Measures].[Count of Profit]" caption="Count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Quarter.1]" caption="Sum of Quarter.1" measure="1" displayFolder="" measureGroup="DimDate"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5307065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03BEA0-2A13-490A-B3A7-21E8F773393D}" name="PivotTable18" cacheId="1504" applyNumberFormats="0" applyBorderFormats="0" applyFontFormats="0" applyPatternFormats="0" applyAlignmentFormats="0" applyWidthHeightFormats="1" dataCaption="Values" tag="e357cfca-a07f-4cb0-8863-281b74c57582" updatedVersion="8" minRefreshableVersion="3" useAutoFormatting="1" subtotalHiddenItems="1" rowGrandTotals="0" colGrandTotals="0" itemPrintTitles="1" createdVersion="8" indent="0" outline="1" outlineData="1" multipleFieldFilters="0">
  <location ref="O61:P65"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Items count="1">
    <i/>
  </colItems>
  <dataFields count="1">
    <dataField name=" Profit" fld="0" baseField="0" baseItem="0" numFmtId="166"/>
  </dataFields>
  <formats count="2">
    <format dxfId="289">
      <pivotArea outline="0" collapsedLevelsAreSubtotals="1" fieldPosition="0">
        <references count="1">
          <reference field="4294967294" count="1" selected="0">
            <x v="0"/>
          </reference>
        </references>
      </pivotArea>
    </format>
    <format dxfId="290">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11EB66-9C6A-4C14-B6EC-A7B07127A58C}" name="PivotTable12" cacheId="1501" applyNumberFormats="0" applyBorderFormats="0" applyFontFormats="0" applyPatternFormats="0" applyAlignmentFormats="0" applyWidthHeightFormats="1" dataCaption="Values" tag="95393555-96d7-4456-9ca8-eae06622763a" updatedVersion="8" minRefreshableVersion="3" useAutoFormatting="1" subtotalHiddenItems="1" rowGrandTotals="0" colGrandTotals="0" itemPrintTitles="1" createdVersion="8" indent="0" outline="1" outlineData="1" multipleFieldFilters="0" chartFormat="12">
  <location ref="N44:O46" firstHeaderRow="1" firstDataRow="1" firstDataCol="1"/>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2">
    <i>
      <x/>
    </i>
    <i>
      <x v="1"/>
    </i>
  </rowItems>
  <colItems count="1">
    <i/>
  </colItems>
  <dataFields count="1">
    <dataField name=" Profit" fld="0" baseField="0" baseItem="0" numFmtId="166"/>
  </dataFields>
  <formats count="3">
    <format dxfId="297">
      <pivotArea outline="0" collapsedLevelsAreSubtotals="1" fieldPosition="0">
        <references count="1">
          <reference field="4294967294" count="1" selected="0">
            <x v="0"/>
          </reference>
        </references>
      </pivotArea>
    </format>
    <format dxfId="298">
      <pivotArea collapsedLevelsAreSubtotals="1" fieldPosition="0">
        <references count="1">
          <reference field="3" count="1">
            <x v="0"/>
          </reference>
        </references>
      </pivotArea>
    </format>
    <format dxfId="299">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3" count="1" selected="0">
            <x v="0"/>
          </reference>
        </references>
      </pivotArea>
    </chartFormat>
    <chartFormat chart="11" format="6">
      <pivotArea type="data" outline="0" fieldPosition="0">
        <references count="2">
          <reference field="4294967294" count="1" selected="0">
            <x v="0"/>
          </reference>
          <reference field="3"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ED20A4-88A9-4B7C-ABB0-21663164BFFE}" name="PivotTable9" cacheId="1498" applyNumberFormats="0" applyBorderFormats="0" applyFontFormats="0" applyPatternFormats="0" applyAlignmentFormats="0" applyWidthHeightFormats="1" dataCaption="Values" tag="c57a9ddd-4665-470d-9301-2047b1ccd6bf" updatedVersion="8" minRefreshableVersion="3" useAutoFormatting="1" subtotalHiddenItems="1" rowGrandTotals="0" colGrandTotals="0" itemPrintTitles="1" createdVersion="8" indent="0" outline="1" outlineData="1" multipleFieldFilters="0" chartFormat="4">
  <location ref="N18:O25"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defaultSubtotal="0" defaultAttributeDrillState="1">
      <items count="7">
        <item x="4"/>
        <item x="1"/>
        <item x="3"/>
        <item x="0"/>
        <item x="5"/>
        <item x="2"/>
        <item x="6"/>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name=" Profit" fld="0" baseField="0" baseItem="0" numFmtId="165"/>
  </dataFields>
  <formats count="1">
    <format dxfId="300">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342CC0-911F-449F-B60E-FEAF703A0AD9}" name="PivotTable7" cacheId="1495" applyNumberFormats="0" applyBorderFormats="0" applyFontFormats="0" applyPatternFormats="0" applyAlignmentFormats="0" applyWidthHeightFormats="1" dataCaption="Values" tag="ccbeddfb-b44d-49b8-8d71-e13f40189e55" updatedVersion="8" minRefreshableVersion="3" useAutoFormatting="1" subtotalHiddenItems="1" rowGrandTotals="0" colGrandTotals="0" itemPrintTitles="1" createdVersion="8" indent="0" outline="1" outlineData="1" multipleFieldFilters="0" chartFormat="4">
  <location ref="B39:C51"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 Profit" fld="0" baseField="0" baseItem="0" numFmtId="166"/>
  </dataFields>
  <formats count="2">
    <format dxfId="301">
      <pivotArea outline="0" collapsedLevelsAreSubtotals="1" fieldPosition="0">
        <references count="1">
          <reference field="4294967294" count="1" selected="0">
            <x v="0"/>
          </reference>
        </references>
      </pivotArea>
    </format>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AE010E-970C-496F-96C8-670DB4268212}" name="PivotTable5" cacheId="1441" applyNumberFormats="0" applyBorderFormats="0" applyFontFormats="0" applyPatternFormats="0" applyAlignmentFormats="0" applyWidthHeightFormats="1" dataCaption="Values" tag="de804dae-322d-4933-a99f-a96888610b37" updatedVersion="8" minRefreshableVersion="3" useAutoFormatting="1" subtotalHiddenItems="1" rowGrandTotals="0" colGrandTotals="0" itemPrintTitles="1" createdVersion="8" indent="0" outline="1" outlineData="1" multipleFieldFilters="0">
  <location ref="O6:U9"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name="transctions" fld="0" subtotal="count" baseField="0" baseItem="0" numFmtId="164"/>
    <dataField name=" Profit" fld="2" baseField="0" baseItem="1" numFmtId="166"/>
    <dataField name="   Revenue" fld="1" baseField="0" baseItem="2" numFmtId="165"/>
    <dataField name=" COGS" fld="3" baseField="0" baseItem="0" numFmtId="165"/>
    <dataField name=" OrderQuantity" fld="4" baseField="0" baseItem="0" numFmtId="164"/>
    <dataField fld="5" subtotal="count" baseField="0" baseItem="0" numFmtId="10"/>
  </dataFields>
  <formats count="7">
    <format dxfId="323">
      <pivotArea outline="0" collapsedLevelsAreSubtotals="1" fieldPosition="0">
        <references count="1">
          <reference field="4294967294" count="1" selected="0">
            <x v="5"/>
          </reference>
        </references>
      </pivotArea>
    </format>
    <format dxfId="324">
      <pivotArea outline="0" collapsedLevelsAreSubtotals="1" fieldPosition="0">
        <references count="1">
          <reference field="4294967294" count="1" selected="0">
            <x v="0"/>
          </reference>
        </references>
      </pivotArea>
    </format>
    <format dxfId="325">
      <pivotArea outline="0" collapsedLevelsAreSubtotals="1" fieldPosition="0">
        <references count="1">
          <reference field="4294967294" count="1" selected="0">
            <x v="4"/>
          </reference>
        </references>
      </pivotArea>
    </format>
    <format dxfId="326">
      <pivotArea outline="0" collapsedLevelsAreSubtotals="1" fieldPosition="0">
        <references count="1">
          <reference field="4294967294" count="1" selected="0">
            <x v="2"/>
          </reference>
        </references>
      </pivotArea>
    </format>
    <format dxfId="327">
      <pivotArea outline="0" collapsedLevelsAreSubtotals="1" fieldPosition="0">
        <references count="1">
          <reference field="4294967294" count="1" selected="0">
            <x v="3"/>
          </reference>
        </references>
      </pivotArea>
    </format>
    <format dxfId="328">
      <pivotArea collapsedLevelsAreSubtotals="1" fieldPosition="0">
        <references count="2">
          <reference field="4294967294" count="1" selected="0">
            <x v="1"/>
          </reference>
          <reference field="6" count="1">
            <x v="0"/>
          </reference>
        </references>
      </pivotArea>
    </format>
    <format dxfId="329">
      <pivotArea outline="0" collapsedLevelsAreSubtotals="1" fieldPosition="0">
        <references count="1">
          <reference field="4294967294" count="1" selected="0">
            <x v="1"/>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3EA5D5-9617-4E64-9626-453A0E579F3E}" name="PivotTable4" cacheId="1492" applyNumberFormats="0" applyBorderFormats="0" applyFontFormats="0" applyPatternFormats="0" applyAlignmentFormats="0" applyWidthHeightFormats="1" dataCaption="Values" tag="d3f5e9d8-3d1a-41e4-be46-a20d91ae171b" updatedVersion="8" minRefreshableVersion="3" useAutoFormatting="1" subtotalHiddenItems="1" rowGrandTotals="0" colGrandTotals="0" itemPrintTitles="1" createdVersion="8" indent="0" compact="0" compactData="0" multipleFieldFilters="0">
  <location ref="X6:X7"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8">
    <format dxfId="315">
      <pivotArea type="all" dataOnly="0" outline="0" fieldPosition="0"/>
    </format>
    <format dxfId="316">
      <pivotArea outline="0" collapsedLevelsAreSubtotals="1" fieldPosition="0"/>
    </format>
    <format dxfId="317">
      <pivotArea field="0" type="button" dataOnly="0" labelOnly="1" outline="0" axis="axisRow" fieldPosition="0"/>
    </format>
    <format dxfId="318">
      <pivotArea dataOnly="0" labelOnly="1" outline="0" fieldPosition="0">
        <references count="1">
          <reference field="0" count="0"/>
        </references>
      </pivotArea>
    </format>
    <format dxfId="319">
      <pivotArea type="all" dataOnly="0" outline="0" fieldPosition="0"/>
    </format>
    <format dxfId="320">
      <pivotArea outline="0" collapsedLevelsAreSubtotals="1" fieldPosition="0"/>
    </format>
    <format dxfId="321">
      <pivotArea field="0" type="button" dataOnly="0" labelOnly="1" outline="0" axis="axisRow" fieldPosition="0"/>
    </format>
    <format dxfId="322">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B6C226-81FC-44A5-B5C4-9B8A39F685F8}" name="PivotTable2" cacheId="1465" applyNumberFormats="0" applyBorderFormats="0" applyFontFormats="0" applyPatternFormats="0" applyAlignmentFormats="0" applyWidthHeightFormats="1" dataCaption="Values" tag="9720cf6f-7d6f-48a8-97df-d02b34f51bf9" updatedVersion="8" minRefreshableVersion="3" useAutoFormatting="1" subtotalHiddenItems="1" rowGrandTotals="0" colGrandTotals="0" itemPrintTitles="1" createdVersion="8" indent="0" compact="0" compactData="0" multipleFieldFilters="0">
  <location ref="C16:F2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s="1" x="0"/>
        <item s="1" x="1"/>
        <item s="1" x="2"/>
        <item s="1"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2" numFmtId="165"/>
    <dataField name=" Profit" fld="2" baseField="0" baseItem="1" numFmtId="165"/>
    <dataField name="transctions" fld="0" subtotal="count" baseField="0" baseItem="0" numFmtId="164"/>
  </dataFields>
  <formats count="13">
    <format dxfId="302">
      <pivotArea outline="0" collapsedLevelsAreSubtotals="1" fieldPosition="0">
        <references count="1">
          <reference field="4294967294" count="1" selected="0">
            <x v="2"/>
          </reference>
        </references>
      </pivotArea>
    </format>
    <format dxfId="303">
      <pivotArea outline="0" collapsedLevelsAreSubtotals="1" fieldPosition="0">
        <references count="1">
          <reference field="4294967294" count="1" selected="0">
            <x v="0"/>
          </reference>
        </references>
      </pivotArea>
    </format>
    <format dxfId="304">
      <pivotArea outline="0" collapsedLevelsAreSubtotals="1" fieldPosition="0">
        <references count="1">
          <reference field="4294967294" count="1" selected="0">
            <x v="1"/>
          </reference>
        </references>
      </pivotArea>
    </format>
    <format dxfId="305">
      <pivotArea type="all" dataOnly="0" outline="0" fieldPosition="0"/>
    </format>
    <format dxfId="306">
      <pivotArea outline="0" collapsedLevelsAreSubtotals="1" fieldPosition="0"/>
    </format>
    <format dxfId="307">
      <pivotArea field="3" type="button" dataOnly="0" labelOnly="1" outline="0" axis="axisRow" fieldPosition="0"/>
    </format>
    <format dxfId="308">
      <pivotArea dataOnly="0" labelOnly="1" outline="0" fieldPosition="0">
        <references count="1">
          <reference field="3" count="0"/>
        </references>
      </pivotArea>
    </format>
    <format dxfId="309">
      <pivotArea dataOnly="0" labelOnly="1" outline="0" fieldPosition="0">
        <references count="1">
          <reference field="4294967294" count="3">
            <x v="0"/>
            <x v="1"/>
            <x v="2"/>
          </reference>
        </references>
      </pivotArea>
    </format>
    <format dxfId="310">
      <pivotArea type="all" dataOnly="0" outline="0" fieldPosition="0"/>
    </format>
    <format dxfId="311">
      <pivotArea outline="0" collapsedLevelsAreSubtotals="1" fieldPosition="0"/>
    </format>
    <format dxfId="312">
      <pivotArea field="3" type="button" dataOnly="0" labelOnly="1" outline="0" axis="axisRow" fieldPosition="0"/>
    </format>
    <format dxfId="313">
      <pivotArea dataOnly="0" labelOnly="1" outline="0" fieldPosition="0">
        <references count="1">
          <reference field="3" count="0"/>
        </references>
      </pivotArea>
    </format>
    <format dxfId="314">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620A7D-1C01-4CC3-9C57-E464998058E3}" name="PivotTable1" cacheId="1489" applyNumberFormats="0" applyBorderFormats="0" applyFontFormats="0" applyPatternFormats="0" applyAlignmentFormats="0" applyWidthHeightFormats="1" dataCaption="Values" tag="cc646d51-dbe6-4e43-a992-0a00649da8f2" updatedVersion="8" minRefreshableVersion="3" useAutoFormatting="1" subtotalHiddenItems="1" itemPrintTitles="1" createdVersion="8" indent="0" outline="1" outlineData="1" multipleFieldFilters="0">
  <location ref="C6:K7"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transctions" fld="0" subtotal="count" baseField="0" baseItem="0" numFmtId="164"/>
    <dataField name=" Profit" fld="2" baseField="0" baseItem="1" numFmtId="165"/>
    <dataField name="   Revenue" fld="1" baseField="0" baseItem="2" numFmtId="165"/>
    <dataField name=" COGS" fld="3" baseField="0" baseItem="0" numFmtId="165"/>
    <dataField name=" OrderQuantity" fld="4" baseField="0" baseItem="0" numFmtId="164"/>
    <dataField fld="5" subtotal="count" baseField="0" baseItem="0" numFmtId="10"/>
    <dataField fld="6" subtotal="count" baseField="0" baseItem="0"/>
    <dataField fld="7" subtotal="count" baseField="0" baseItem="0"/>
    <dataField fld="8" subtotal="count" baseField="0" baseItem="0"/>
  </dataFields>
  <formats count="6">
    <format dxfId="330">
      <pivotArea outline="0" collapsedLevelsAreSubtotals="1" fieldPosition="0">
        <references count="1">
          <reference field="4294967294" count="1" selected="0">
            <x v="5"/>
          </reference>
        </references>
      </pivotArea>
    </format>
    <format dxfId="331">
      <pivotArea outline="0" collapsedLevelsAreSubtotals="1" fieldPosition="0">
        <references count="1">
          <reference field="4294967294" count="1" selected="0">
            <x v="0"/>
          </reference>
        </references>
      </pivotArea>
    </format>
    <format dxfId="332">
      <pivotArea outline="0" collapsedLevelsAreSubtotals="1" fieldPosition="0">
        <references count="1">
          <reference field="4294967294" count="1" selected="0">
            <x v="4"/>
          </reference>
        </references>
      </pivotArea>
    </format>
    <format dxfId="333">
      <pivotArea outline="0" collapsedLevelsAreSubtotals="1" fieldPosition="0">
        <references count="1">
          <reference field="4294967294" count="1" selected="0">
            <x v="2"/>
          </reference>
        </references>
      </pivotArea>
    </format>
    <format dxfId="334">
      <pivotArea outline="0" collapsedLevelsAreSubtotals="1" fieldPosition="0">
        <references count="1">
          <reference field="4294967294" count="1" selected="0">
            <x v="3"/>
          </reference>
        </references>
      </pivotArea>
    </format>
    <format dxfId="335">
      <pivotArea outline="0" collapsedLevelsAreSubtotals="1" fieldPosition="0">
        <references count="1">
          <reference field="4294967294" count="1" selected="0">
            <x v="1"/>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caption=" Profit"/>
    <pivotHierarchy dragToData="1" caption=" COGS"/>
    <pivotHierarchy dragToData="1" caption=" OrderQuantity"/>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49019D-C49D-49B5-BC1D-DDF7A5DCDEFA}" sourceName="[DimDate].[Year]">
  <pivotTables>
    <pivotTable tabId="1" name="PivotTable1"/>
    <pivotTable tabId="1" name="PivotTable4"/>
    <pivotTable tabId="1" name="PivotTable7"/>
    <pivotTable tabId="1" name="PivotTable9"/>
    <pivotTable tabId="1" name="PivotTable12"/>
    <pivotTable tabId="1" name="PivotTable18"/>
  </pivotTables>
  <data>
    <olap pivotCacheId="51357630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85453ED-51BA-446D-90C4-C6DB72FE0C55}" sourceName="[DimDate].[Month Name]">
  <pivotTables>
    <pivotTable tabId="1" name="PivotTable5"/>
    <pivotTable tabId="1" name="PivotTable9"/>
    <pivotTable tabId="1" name="PivotTable12"/>
    <pivotTable tabId="1" name="PivotTable1"/>
  </pivotTables>
  <data>
    <olap pivotCacheId="513576309">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E43546F-AA81-4A0A-A532-F8FE9FBE7E2A}" sourceName="[DimGeography].[Country]">
  <pivotTables>
    <pivotTable tabId="1" name="PivotTable18"/>
    <pivotTable tabId="1" name="PivotTable12"/>
    <pivotTable tabId="1" name="PivotTable9"/>
    <pivotTable tabId="1" name="PivotTable7"/>
    <pivotTable tabId="1" name="PivotTable2"/>
    <pivotTable tabId="1" name="PivotTable1"/>
  </pivotTables>
  <data>
    <olap pivotCacheId="530706596">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Fran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109D70-FCE1-4BF4-8A28-9A47CFB21A24}" cache="Slicer_Year" caption="Year" columnCount="4" showCaption="0" level="1" style="SlicerStyleLight1 2" rowHeight="180000"/>
  <slicer name="Month Name" xr10:uid="{96DC0BAD-95D6-4527-89C6-EC8371AEC96B}" cache="Slicer_Month_Name" caption="Month Name" columnCount="3" showCaption="0" level="1" style="SlicerStyleLight1 2" rowHeight="257175"/>
  <slicer name="Country" xr10:uid="{36564C2C-D4B5-48EA-BFEF-0C992FE0B093}" cache="Slicer_Country" caption="Country" columnCount="2" showCaption="0" level="1" style="SlicerStyleLight1 2" rowHeight="39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ED808-F050-4E1A-A8C8-B0B2507E68A0}">
  <dimension ref="A6:AB95"/>
  <sheetViews>
    <sheetView topLeftCell="A22" zoomScale="102" workbookViewId="0">
      <selection activeCell="C40" sqref="C40:C51"/>
    </sheetView>
  </sheetViews>
  <sheetFormatPr defaultRowHeight="15" x14ac:dyDescent="0.25"/>
  <cols>
    <col min="2" max="2" width="13.42578125" bestFit="1" customWidth="1"/>
    <col min="3" max="4" width="8.5703125" bestFit="1" customWidth="1"/>
    <col min="5" max="5" width="10.28515625" bestFit="1" customWidth="1"/>
    <col min="6" max="6" width="8.5703125" bestFit="1" customWidth="1"/>
    <col min="7" max="7" width="14.42578125" bestFit="1" customWidth="1"/>
    <col min="8" max="8" width="14.85546875" bestFit="1" customWidth="1"/>
    <col min="9" max="9" width="11.5703125" bestFit="1" customWidth="1"/>
    <col min="10" max="10" width="12.85546875" bestFit="1" customWidth="1"/>
    <col min="11" max="11" width="7.28515625" bestFit="1" customWidth="1"/>
    <col min="13" max="13" width="3.42578125" style="16" customWidth="1"/>
    <col min="14" max="15" width="13.42578125" bestFit="1" customWidth="1"/>
    <col min="16" max="16" width="7.5703125" bestFit="1" customWidth="1"/>
    <col min="17" max="17" width="6.42578125" bestFit="1" customWidth="1"/>
    <col min="18" max="18" width="10.28515625" bestFit="1" customWidth="1"/>
    <col min="19" max="19" width="7.140625" bestFit="1" customWidth="1"/>
    <col min="20" max="20" width="14.42578125" bestFit="1" customWidth="1"/>
    <col min="21" max="21" width="14.85546875" bestFit="1" customWidth="1"/>
    <col min="22" max="22" width="9.5703125" bestFit="1" customWidth="1"/>
    <col min="23" max="23" width="1.7109375" customWidth="1"/>
    <col min="24" max="24" width="7.28515625" bestFit="1" customWidth="1"/>
    <col min="25" max="25" width="11.7109375" customWidth="1"/>
    <col min="26" max="26" width="9.42578125" bestFit="1" customWidth="1"/>
    <col min="27" max="27" width="12.140625" bestFit="1" customWidth="1"/>
    <col min="28" max="28" width="12.85546875" customWidth="1"/>
  </cols>
  <sheetData>
    <row r="6" spans="3:28" x14ac:dyDescent="0.25">
      <c r="C6" t="s">
        <v>19</v>
      </c>
      <c r="D6" t="s">
        <v>4</v>
      </c>
      <c r="E6" t="s">
        <v>18</v>
      </c>
      <c r="F6" t="s">
        <v>5</v>
      </c>
      <c r="G6" t="s">
        <v>6</v>
      </c>
      <c r="H6" t="s">
        <v>0</v>
      </c>
      <c r="I6" t="s">
        <v>1</v>
      </c>
      <c r="J6" t="s">
        <v>2</v>
      </c>
      <c r="K6" t="s">
        <v>3</v>
      </c>
      <c r="O6" s="6" t="s">
        <v>10</v>
      </c>
      <c r="P6" t="s">
        <v>19</v>
      </c>
      <c r="Q6" t="s">
        <v>4</v>
      </c>
      <c r="R6" t="s">
        <v>18</v>
      </c>
      <c r="S6" t="s">
        <v>5</v>
      </c>
      <c r="T6" t="s">
        <v>6</v>
      </c>
      <c r="U6" t="s">
        <v>0</v>
      </c>
      <c r="X6" s="9" t="s">
        <v>11</v>
      </c>
      <c r="Z6">
        <f>COUNTA(X7:X10)</f>
        <v>1</v>
      </c>
    </row>
    <row r="7" spans="3:28" x14ac:dyDescent="0.25">
      <c r="C7" s="2">
        <v>20</v>
      </c>
      <c r="D7" s="3">
        <v>206421.74340000004</v>
      </c>
      <c r="E7" s="3">
        <v>494055.50869999989</v>
      </c>
      <c r="F7" s="3">
        <v>287633.76529999997</v>
      </c>
      <c r="G7" s="2">
        <v>228</v>
      </c>
      <c r="H7" s="1">
        <v>0.41781083251789697</v>
      </c>
      <c r="I7" s="7">
        <v>606</v>
      </c>
      <c r="J7" s="7">
        <v>10</v>
      </c>
      <c r="K7" s="7">
        <v>596</v>
      </c>
      <c r="O7" s="5">
        <v>2005</v>
      </c>
      <c r="P7" s="2">
        <v>156</v>
      </c>
      <c r="Q7" s="17">
        <v>2059170.7828999998</v>
      </c>
      <c r="R7" s="3">
        <v>5121209.2574000005</v>
      </c>
      <c r="S7" s="3">
        <v>3062038.4744999986</v>
      </c>
      <c r="T7" s="2">
        <v>1573</v>
      </c>
      <c r="U7" s="1">
        <v>0.40208682742743951</v>
      </c>
      <c r="X7" s="10">
        <v>2006</v>
      </c>
    </row>
    <row r="8" spans="3:28" x14ac:dyDescent="0.25">
      <c r="O8" s="5">
        <v>2006</v>
      </c>
      <c r="P8" s="2">
        <v>281</v>
      </c>
      <c r="Q8" s="17">
        <v>2324468.8939000005</v>
      </c>
      <c r="R8" s="3">
        <v>5729915.4418999981</v>
      </c>
      <c r="S8" s="3">
        <v>3405446.5480000018</v>
      </c>
      <c r="T8" s="2">
        <v>2915</v>
      </c>
      <c r="U8" s="1">
        <v>0.40567246017320313</v>
      </c>
    </row>
    <row r="9" spans="3:28" x14ac:dyDescent="0.25">
      <c r="O9" s="5">
        <v>2007</v>
      </c>
      <c r="P9" s="2">
        <v>3819</v>
      </c>
      <c r="Q9" s="17">
        <v>3651438.9383000112</v>
      </c>
      <c r="R9" s="3">
        <v>8744056.7300000563</v>
      </c>
      <c r="S9" s="3">
        <v>5092617.7916999906</v>
      </c>
      <c r="T9" s="2">
        <v>40257</v>
      </c>
      <c r="U9" s="1">
        <v>0.41759094789175594</v>
      </c>
    </row>
    <row r="12" spans="3:28" x14ac:dyDescent="0.25">
      <c r="Y12" s="20" t="s">
        <v>20</v>
      </c>
      <c r="Z12" s="20" t="s">
        <v>11</v>
      </c>
      <c r="AA12" s="20" t="s">
        <v>23</v>
      </c>
      <c r="AB12" s="20" t="s">
        <v>24</v>
      </c>
    </row>
    <row r="13" spans="3:28" x14ac:dyDescent="0.25">
      <c r="Y13" s="10" t="s">
        <v>21</v>
      </c>
      <c r="Z13" s="10">
        <f>IF(Z6=1,X7)</f>
        <v>2006</v>
      </c>
      <c r="AA13" s="15">
        <f>IFERROR(VLOOKUP(Z13,O6:U10,3,FALSE),0)</f>
        <v>2324468.8939000005</v>
      </c>
      <c r="AB13" s="19">
        <f>AA13/(SUM($AA$13:$AA$14))</f>
        <v>0.53026002711902465</v>
      </c>
    </row>
    <row r="14" spans="3:28" x14ac:dyDescent="0.25">
      <c r="Y14" s="10" t="s">
        <v>22</v>
      </c>
      <c r="Z14" s="10">
        <f>IF(OR(X7=2008,Z6&gt;1),0,X7-1)</f>
        <v>2005</v>
      </c>
      <c r="AA14" s="15">
        <f>VLOOKUP(Z14,O6:U10,3,FALSE)</f>
        <v>2059170.7828999998</v>
      </c>
      <c r="AB14" s="19">
        <f>AA14/(SUM($AA$13:$AA$14))</f>
        <v>0.46973997288097535</v>
      </c>
    </row>
    <row r="16" spans="3:28" x14ac:dyDescent="0.25">
      <c r="C16" s="9" t="s">
        <v>11</v>
      </c>
      <c r="D16" s="10" t="s">
        <v>18</v>
      </c>
      <c r="E16" s="10" t="s">
        <v>4</v>
      </c>
      <c r="F16" s="10" t="s">
        <v>19</v>
      </c>
      <c r="N16" s="28"/>
      <c r="O16" s="28"/>
      <c r="P16" s="28"/>
      <c r="Q16" s="28"/>
      <c r="R16" s="28"/>
      <c r="S16" s="28"/>
      <c r="T16" s="28"/>
      <c r="U16" s="28"/>
      <c r="V16" s="28"/>
      <c r="W16" s="28"/>
      <c r="X16" s="28"/>
      <c r="Y16" s="21" t="s">
        <v>25</v>
      </c>
      <c r="Z16" s="21"/>
      <c r="AA16" s="21"/>
      <c r="AB16" s="24">
        <f>AB13-AB14</f>
        <v>6.0520054238049292E-2</v>
      </c>
    </row>
    <row r="17" spans="3:28" x14ac:dyDescent="0.25">
      <c r="C17" s="10">
        <v>2005</v>
      </c>
      <c r="D17" s="11">
        <v>1667134.4908000005</v>
      </c>
      <c r="E17" s="11">
        <v>674437.3679999999</v>
      </c>
      <c r="F17" s="12">
        <v>59</v>
      </c>
      <c r="W17" s="28"/>
    </row>
    <row r="18" spans="3:28" x14ac:dyDescent="0.25">
      <c r="C18" s="10">
        <v>2006</v>
      </c>
      <c r="D18" s="11">
        <v>5454127.9142000023</v>
      </c>
      <c r="E18" s="11">
        <v>2207096.5689999997</v>
      </c>
      <c r="F18" s="12">
        <v>233</v>
      </c>
      <c r="N18" s="6" t="s">
        <v>10</v>
      </c>
      <c r="O18" t="s">
        <v>4</v>
      </c>
      <c r="Q18" s="10" t="str">
        <f>N18</f>
        <v>Row Labels</v>
      </c>
      <c r="R18" s="10" t="str">
        <f>O18</f>
        <v xml:space="preserve"> Profit</v>
      </c>
      <c r="S18" s="10" t="s">
        <v>59</v>
      </c>
      <c r="W18" s="28"/>
    </row>
    <row r="19" spans="3:28" x14ac:dyDescent="0.25">
      <c r="C19" s="10">
        <v>2007</v>
      </c>
      <c r="D19" s="11">
        <v>10273625.11300005</v>
      </c>
      <c r="E19" s="11">
        <v>4234284.5858999854</v>
      </c>
      <c r="F19" s="12">
        <v>2291</v>
      </c>
      <c r="N19" s="5" t="s">
        <v>52</v>
      </c>
      <c r="O19" s="3">
        <v>32364.673900000002</v>
      </c>
      <c r="Q19" s="10" t="str">
        <f t="shared" ref="Q19:Q25" si="0">N19</f>
        <v>Fri</v>
      </c>
      <c r="R19" s="15">
        <f t="shared" ref="R19:R25" si="1">O19</f>
        <v>32364.673900000002</v>
      </c>
      <c r="S19" s="15" t="str" cm="1">
        <f t="array" ref="S19">IFERROR(_xlfn.IFS(R19=$R$33,R19,R19=$R$34,R19,R19=$R$35,R19),"")</f>
        <v/>
      </c>
      <c r="W19" s="28"/>
    </row>
    <row r="20" spans="3:28" x14ac:dyDescent="0.25">
      <c r="C20" s="10">
        <v>2008</v>
      </c>
      <c r="D20" s="11">
        <v>9662977.0700000618</v>
      </c>
      <c r="E20" s="11">
        <v>4009847.7755999938</v>
      </c>
      <c r="F20" s="12">
        <v>2975</v>
      </c>
      <c r="N20" s="5" t="s">
        <v>57</v>
      </c>
      <c r="O20" s="3">
        <v>32367.130799999999</v>
      </c>
      <c r="Q20" s="10" t="str">
        <f t="shared" si="0"/>
        <v>Tue</v>
      </c>
      <c r="R20" s="15">
        <f t="shared" si="1"/>
        <v>32367.130799999999</v>
      </c>
      <c r="S20" s="15" cm="1">
        <f t="array" ref="S20">IFERROR(_xlfn.IFS(R20=$R$33,R20,R20=$R$34,R20,R20=$R$35,R20),"")</f>
        <v>32367.130799999999</v>
      </c>
      <c r="W20" s="28"/>
      <c r="Y20" s="20" t="s">
        <v>27</v>
      </c>
      <c r="Z20" s="20" t="s">
        <v>11</v>
      </c>
      <c r="AA20" s="20" t="s">
        <v>26</v>
      </c>
      <c r="AB20" s="20" t="s">
        <v>24</v>
      </c>
    </row>
    <row r="21" spans="3:28" x14ac:dyDescent="0.25">
      <c r="N21" s="5" t="s">
        <v>56</v>
      </c>
      <c r="O21" s="3">
        <v>29279.975699999999</v>
      </c>
      <c r="Q21" s="10" t="str">
        <f t="shared" si="0"/>
        <v>Thu</v>
      </c>
      <c r="R21" s="15">
        <f t="shared" si="1"/>
        <v>29279.975699999999</v>
      </c>
      <c r="S21" s="15" t="str" cm="1">
        <f t="array" ref="S21">IFERROR(_xlfn.IFS(R21=$R$33,R21,R21=$R$34,R21,R21=$R$35,R21),"")</f>
        <v/>
      </c>
      <c r="W21" s="28"/>
      <c r="Y21" s="10" t="s">
        <v>21</v>
      </c>
      <c r="Z21" s="10">
        <f>IF(Z6=1,X7,0)</f>
        <v>2006</v>
      </c>
      <c r="AA21" s="15">
        <f>VLOOKUP(Z21,O6:U10,4,0)</f>
        <v>5729915.4418999981</v>
      </c>
      <c r="AB21" s="19">
        <f>AA21/SUM($AA$21:$AA$22)</f>
        <v>0.52804806881167188</v>
      </c>
    </row>
    <row r="22" spans="3:28" x14ac:dyDescent="0.25">
      <c r="N22" s="5" t="s">
        <v>53</v>
      </c>
      <c r="O22" s="3">
        <v>20661.088800000001</v>
      </c>
      <c r="Q22" s="10" t="str">
        <f t="shared" si="0"/>
        <v>Mon</v>
      </c>
      <c r="R22" s="15">
        <f t="shared" si="1"/>
        <v>20661.088800000001</v>
      </c>
      <c r="S22" s="15" t="str" cm="1">
        <f t="array" ref="S22">IFERROR(_xlfn.IFS(R22=$R$33,R22,R22=$R$34,R22,R22=$R$35,R22),"")</f>
        <v/>
      </c>
      <c r="W22" s="28"/>
      <c r="Y22" s="10" t="s">
        <v>22</v>
      </c>
      <c r="Z22" s="10">
        <f>IF(OR(Z6&gt;1,X7=2008),0,X7-1)</f>
        <v>2005</v>
      </c>
      <c r="AA22" s="15">
        <f>VLOOKUP(Z22,O6:U10,4,0)</f>
        <v>5121209.2574000005</v>
      </c>
      <c r="AB22" s="19">
        <f>AA22/SUM($AA$21:$AA$22)</f>
        <v>0.47195193118832812</v>
      </c>
    </row>
    <row r="23" spans="3:28" x14ac:dyDescent="0.25">
      <c r="C23" s="13">
        <v>3</v>
      </c>
      <c r="N23" s="5" t="s">
        <v>54</v>
      </c>
      <c r="O23" s="3">
        <v>35675.870999999999</v>
      </c>
      <c r="Q23" s="10" t="str">
        <f t="shared" si="0"/>
        <v>Sat</v>
      </c>
      <c r="R23" s="15">
        <f t="shared" si="1"/>
        <v>35675.870999999999</v>
      </c>
      <c r="S23" s="15" cm="1">
        <f t="array" ref="S23">IFERROR(_xlfn.IFS(R23=$R$33,R23,R23=$R$34,R23,R23=$R$35,R23),"")</f>
        <v>35675.870999999999</v>
      </c>
      <c r="W23" s="28"/>
    </row>
    <row r="24" spans="3:28" x14ac:dyDescent="0.25">
      <c r="C24" s="10" t="str">
        <f>C16</f>
        <v>Year</v>
      </c>
      <c r="D24" s="10" t="str" cm="1">
        <f t="array" ref="D24">_xlfn.IFS($C$23=1,D16,$C$23=2,E16,$C$23=3,F16)</f>
        <v>transctions</v>
      </c>
      <c r="E24" s="10" t="s">
        <v>12</v>
      </c>
      <c r="F24" s="10" t="s">
        <v>13</v>
      </c>
      <c r="N24" s="5" t="s">
        <v>58</v>
      </c>
      <c r="O24" s="3">
        <v>2773.6907999999999</v>
      </c>
      <c r="Q24" s="10" t="str">
        <f t="shared" si="0"/>
        <v>Wed</v>
      </c>
      <c r="R24" s="15">
        <f t="shared" si="1"/>
        <v>2773.6907999999999</v>
      </c>
      <c r="S24" s="15" t="str" cm="1">
        <f t="array" ref="S24">IFERROR(_xlfn.IFS(R24=$R$33,R24,R24=$R$34,R24,R24=$R$35,R24),"")</f>
        <v/>
      </c>
      <c r="W24" s="28"/>
      <c r="Y24" s="21" t="s">
        <v>25</v>
      </c>
      <c r="Z24" s="21"/>
      <c r="AA24" s="21"/>
      <c r="AB24" s="24">
        <f>AB21-AB22</f>
        <v>5.6096137623343756E-2</v>
      </c>
    </row>
    <row r="25" spans="3:28" x14ac:dyDescent="0.25">
      <c r="C25" s="10">
        <f t="shared" ref="C25:C28" si="2">C17</f>
        <v>2005</v>
      </c>
      <c r="D25" s="15" cm="1">
        <f t="array" ref="D25">_xlfn.IFS($C$23=1,D17,$C$23=2,E17,$C$23=3,F17)</f>
        <v>59</v>
      </c>
      <c r="E25" s="14">
        <f>AVERAGE($D$25:$D$28)</f>
        <v>1389.5</v>
      </c>
      <c r="F25" s="10" t="str">
        <f>IF(E25&lt;D25,D25,"")</f>
        <v/>
      </c>
      <c r="N25" s="5" t="s">
        <v>55</v>
      </c>
      <c r="O25" s="3">
        <v>53299.312400000003</v>
      </c>
      <c r="Q25" s="10" t="str">
        <f t="shared" si="0"/>
        <v>Sun</v>
      </c>
      <c r="R25" s="15">
        <f t="shared" si="1"/>
        <v>53299.312400000003</v>
      </c>
      <c r="S25" s="15" cm="1">
        <f t="array" ref="S25">IFERROR(_xlfn.IFS(R25=$R$33,R25,R25=$R$34,R25,R25=$R$35,R25),"")</f>
        <v>53299.312400000003</v>
      </c>
      <c r="W25" s="28"/>
    </row>
    <row r="26" spans="3:28" x14ac:dyDescent="0.25">
      <c r="C26" s="10">
        <f t="shared" si="2"/>
        <v>2006</v>
      </c>
      <c r="D26" s="15" cm="1">
        <f t="array" ref="D26">_xlfn.IFS($C$23=1,D18,$C$23=2,E18,$C$23=3,F18)</f>
        <v>233</v>
      </c>
      <c r="E26" s="14">
        <f t="shared" ref="E26:E28" si="3">AVERAGE($D$25:$D$28)</f>
        <v>1389.5</v>
      </c>
      <c r="F26" s="10" t="str">
        <f t="shared" ref="F26:F28" si="4">IF(E26&lt;D26,D26,"")</f>
        <v/>
      </c>
      <c r="W26" s="28"/>
    </row>
    <row r="27" spans="3:28" x14ac:dyDescent="0.25">
      <c r="C27" s="10">
        <f t="shared" si="2"/>
        <v>2007</v>
      </c>
      <c r="D27" s="15" cm="1">
        <f t="array" ref="D27">_xlfn.IFS($C$23=1,D19,$C$23=2,E19,$C$23=3,F19)</f>
        <v>2291</v>
      </c>
      <c r="E27" s="14">
        <f t="shared" si="3"/>
        <v>1389.5</v>
      </c>
      <c r="F27" s="10">
        <f t="shared" si="4"/>
        <v>2291</v>
      </c>
      <c r="W27" s="28"/>
    </row>
    <row r="28" spans="3:28" x14ac:dyDescent="0.25">
      <c r="C28" s="10">
        <f t="shared" si="2"/>
        <v>2008</v>
      </c>
      <c r="D28" s="15" cm="1">
        <f t="array" ref="D28">_xlfn.IFS($C$23=1,D20,$C$23=2,E20,$C$23=3,F20)</f>
        <v>2975</v>
      </c>
      <c r="E28" s="14">
        <f t="shared" si="3"/>
        <v>1389.5</v>
      </c>
      <c r="F28" s="10">
        <f t="shared" si="4"/>
        <v>2975</v>
      </c>
      <c r="W28" s="28"/>
      <c r="Y28" s="20" t="s">
        <v>28</v>
      </c>
      <c r="Z28" s="20" t="s">
        <v>11</v>
      </c>
      <c r="AA28" s="20" t="s">
        <v>29</v>
      </c>
      <c r="AB28" s="20" t="s">
        <v>24</v>
      </c>
    </row>
    <row r="29" spans="3:28" x14ac:dyDescent="0.25">
      <c r="W29" s="28"/>
      <c r="Y29" s="10" t="s">
        <v>21</v>
      </c>
      <c r="Z29" s="10">
        <f>IF($Z$6=1,$X$7,0)</f>
        <v>2006</v>
      </c>
      <c r="AA29" s="15">
        <f>VLOOKUP(Z29,O7:U10,5,0)</f>
        <v>3405446.5480000018</v>
      </c>
      <c r="AB29" s="19">
        <f>AA29/SUM($AA$21:$AA$22)</f>
        <v>0.3138335096471323</v>
      </c>
    </row>
    <row r="30" spans="3:28" x14ac:dyDescent="0.25">
      <c r="W30" s="28"/>
      <c r="Y30" s="10" t="s">
        <v>22</v>
      </c>
      <c r="Z30" s="10">
        <f>IF(OR($Z$6&gt;1,$X$7=2008),0,$X$7-1)</f>
        <v>2005</v>
      </c>
      <c r="AA30" s="15">
        <f>VLOOKUP(Z30,O7:U10,5,0)</f>
        <v>3062038.4744999986</v>
      </c>
      <c r="AB30" s="19">
        <f>AA30/SUM($AA$21:$AA$22)</f>
        <v>0.28218627647855982</v>
      </c>
    </row>
    <row r="31" spans="3:28" x14ac:dyDescent="0.25">
      <c r="W31" s="28"/>
    </row>
    <row r="32" spans="3:28" x14ac:dyDescent="0.25">
      <c r="C32" t="s">
        <v>15</v>
      </c>
      <c r="F32" t="s">
        <v>17</v>
      </c>
      <c r="Q32" s="21" t="s">
        <v>60</v>
      </c>
      <c r="R32" s="21" t="s">
        <v>49</v>
      </c>
      <c r="W32" s="28"/>
      <c r="Y32" s="21" t="s">
        <v>25</v>
      </c>
      <c r="Z32" s="21"/>
      <c r="AA32" s="21"/>
      <c r="AB32" s="24">
        <f>AB29-AB30</f>
        <v>3.1647233168572486E-2</v>
      </c>
    </row>
    <row r="33" spans="1:28" x14ac:dyDescent="0.25">
      <c r="C33" s="8">
        <f>SUM(F25:F28)</f>
        <v>5266</v>
      </c>
      <c r="F33" t="str">
        <f>"of " &amp;D24&amp;" came from highlited years"</f>
        <v>of transctions came from highlited years</v>
      </c>
      <c r="Q33">
        <v>1</v>
      </c>
      <c r="R33" s="17">
        <f>LARGE($R$19:$R$25,Q33)</f>
        <v>53299.312400000003</v>
      </c>
      <c r="W33" s="28"/>
    </row>
    <row r="34" spans="1:28" x14ac:dyDescent="0.25">
      <c r="B34" t="s">
        <v>16</v>
      </c>
      <c r="C34" s="1">
        <f>C33/SUM(D25:D28)</f>
        <v>0.94746311622885926</v>
      </c>
      <c r="Q34">
        <v>2</v>
      </c>
      <c r="R34" s="17">
        <f t="shared" ref="R34:R35" si="5">LARGE($R$19:$R$25,Q34)</f>
        <v>35675.870999999999</v>
      </c>
      <c r="W34" s="28"/>
    </row>
    <row r="35" spans="1:28" x14ac:dyDescent="0.25">
      <c r="F35" t="str">
        <f>"Avg "&amp;D24</f>
        <v>Avg transctions</v>
      </c>
      <c r="Q35">
        <v>3</v>
      </c>
      <c r="R35" s="17">
        <f t="shared" si="5"/>
        <v>32367.130799999999</v>
      </c>
      <c r="W35" s="28"/>
    </row>
    <row r="36" spans="1:28" x14ac:dyDescent="0.25">
      <c r="W36" s="28"/>
      <c r="Y36" s="20" t="s">
        <v>30</v>
      </c>
      <c r="Z36" s="20" t="s">
        <v>11</v>
      </c>
      <c r="AA36" s="20" t="s">
        <v>31</v>
      </c>
      <c r="AB36" s="20" t="s">
        <v>24</v>
      </c>
    </row>
    <row r="37" spans="1:28" x14ac:dyDescent="0.25">
      <c r="A37" s="25"/>
      <c r="B37" s="25"/>
      <c r="C37" s="25"/>
      <c r="D37" s="25"/>
      <c r="E37" s="25"/>
      <c r="F37" s="25"/>
      <c r="G37" s="25"/>
      <c r="H37" s="25"/>
      <c r="I37" s="25"/>
      <c r="J37" s="25"/>
      <c r="K37" s="25"/>
      <c r="L37" s="25"/>
      <c r="M37" s="25"/>
      <c r="Q37" s="21" t="s">
        <v>16</v>
      </c>
      <c r="R37" s="23">
        <f>SUM(R33:R35)/SUM(R19:R25)</f>
        <v>0.58783688288527458</v>
      </c>
      <c r="W37" s="28"/>
      <c r="Y37" s="10" t="s">
        <v>21</v>
      </c>
      <c r="Z37" s="10">
        <f>IF($Z$6=1,$X$7,0)</f>
        <v>2006</v>
      </c>
      <c r="AA37" s="15">
        <f>VLOOKUP(Z37,O7:U10,6,0)</f>
        <v>2915</v>
      </c>
      <c r="AB37" s="19">
        <f>AA37/SUM(AA37:AA38)</f>
        <v>0.64950980392156865</v>
      </c>
    </row>
    <row r="38" spans="1:28" x14ac:dyDescent="0.25">
      <c r="W38" s="28"/>
      <c r="Y38" s="10" t="s">
        <v>22</v>
      </c>
      <c r="Z38" s="10">
        <f>IF(OR($Z$6&gt;1,$X$7=2008),0,$X$7-1)</f>
        <v>2005</v>
      </c>
      <c r="AA38" s="15">
        <f>VLOOKUP(Z38,O7:U10,6,0)</f>
        <v>1573</v>
      </c>
      <c r="AB38" s="19">
        <f>AA38/SUM(AA37:AA38)</f>
        <v>0.35049019607843135</v>
      </c>
    </row>
    <row r="39" spans="1:28" x14ac:dyDescent="0.25">
      <c r="B39" s="6" t="s">
        <v>10</v>
      </c>
      <c r="C39" t="s">
        <v>4</v>
      </c>
      <c r="E39" s="26" t="s">
        <v>48</v>
      </c>
      <c r="F39" s="26" t="s">
        <v>49</v>
      </c>
      <c r="G39" s="26" t="s">
        <v>50</v>
      </c>
      <c r="W39" s="28"/>
    </row>
    <row r="40" spans="1:28" x14ac:dyDescent="0.25">
      <c r="B40" s="5" t="s">
        <v>40</v>
      </c>
      <c r="C40" s="17">
        <v>132598.25779999999</v>
      </c>
      <c r="E40">
        <v>1</v>
      </c>
      <c r="F40" s="17">
        <f>LARGE($C$40:$C$51,E40)</f>
        <v>331050.35469999997</v>
      </c>
      <c r="G40" t="str">
        <f>INDEX($B$40:$B$51,MATCH(F40,$C$40:$C$51,0))</f>
        <v>Dec</v>
      </c>
      <c r="W40" s="28"/>
      <c r="Y40" s="21" t="s">
        <v>25</v>
      </c>
      <c r="Z40" s="21"/>
      <c r="AA40" s="21"/>
      <c r="AB40" s="24">
        <f>AB37-AB38</f>
        <v>0.2990196078431373</v>
      </c>
    </row>
    <row r="41" spans="1:28" x14ac:dyDescent="0.25">
      <c r="B41" s="5" t="s">
        <v>39</v>
      </c>
      <c r="C41" s="17">
        <v>142495.84640000001</v>
      </c>
      <c r="E41">
        <v>2</v>
      </c>
      <c r="F41" s="17">
        <f t="shared" ref="F41:F42" si="6">LARGE($C$40:$C$51,E41)</f>
        <v>248331.22520000002</v>
      </c>
      <c r="G41" t="str">
        <f t="shared" ref="G41:G42" si="7">INDEX($B$40:$B$51,MATCH(F41,$C$40:$C$51,0))</f>
        <v>Sep</v>
      </c>
      <c r="N41" s="28"/>
      <c r="O41" s="28"/>
      <c r="P41" s="28"/>
      <c r="Q41" s="28"/>
      <c r="R41" s="28"/>
      <c r="S41" s="28"/>
      <c r="T41" s="28"/>
      <c r="U41" s="28"/>
      <c r="V41" s="28"/>
      <c r="W41" s="28"/>
    </row>
    <row r="42" spans="1:28" x14ac:dyDescent="0.25">
      <c r="B42" s="5" t="s">
        <v>43</v>
      </c>
      <c r="C42" s="17">
        <v>204691.20369999998</v>
      </c>
      <c r="E42">
        <v>3</v>
      </c>
      <c r="F42" s="17">
        <f t="shared" si="6"/>
        <v>206421.74340000004</v>
      </c>
      <c r="G42" t="str">
        <f t="shared" si="7"/>
        <v>Aug</v>
      </c>
      <c r="W42" s="28"/>
    </row>
    <row r="43" spans="1:28" x14ac:dyDescent="0.25">
      <c r="B43" s="5" t="s">
        <v>36</v>
      </c>
      <c r="C43" s="17">
        <v>196209.89109999995</v>
      </c>
      <c r="W43" s="28"/>
    </row>
    <row r="44" spans="1:28" x14ac:dyDescent="0.25">
      <c r="B44" s="5" t="s">
        <v>44</v>
      </c>
      <c r="C44" s="17">
        <v>176150.08549999996</v>
      </c>
      <c r="N44" s="6" t="s">
        <v>10</v>
      </c>
      <c r="O44" t="s">
        <v>4</v>
      </c>
      <c r="P44" s="21" t="s">
        <v>16</v>
      </c>
      <c r="W44" s="28"/>
      <c r="Y44" s="20" t="s">
        <v>32</v>
      </c>
      <c r="Z44" s="20" t="s">
        <v>11</v>
      </c>
      <c r="AA44" s="20" t="s">
        <v>33</v>
      </c>
      <c r="AB44" s="20" t="s">
        <v>24</v>
      </c>
    </row>
    <row r="45" spans="1:28" x14ac:dyDescent="0.25">
      <c r="B45" s="5" t="s">
        <v>42</v>
      </c>
      <c r="C45" s="17">
        <v>120174.3446</v>
      </c>
      <c r="E45" s="26" t="s">
        <v>16</v>
      </c>
      <c r="F45" s="26"/>
      <c r="G45" s="27">
        <f>SUM(F40:F42)/SUM(C40:C51)</f>
        <v>0.35603486242381993</v>
      </c>
      <c r="N45" s="5" t="s">
        <v>61</v>
      </c>
      <c r="O45" s="17">
        <v>117446.56</v>
      </c>
      <c r="P45" s="1">
        <f>GETPIVOTDATA("[Measures].[Sum of Profit]",$N$44,"[DimDate].[week type]","[DimDate].[week type].&amp;[Weekday]")/SUM($O$45:$O$46)</f>
        <v>0.5689640929561105</v>
      </c>
      <c r="W45" s="28"/>
      <c r="Y45" s="10" t="s">
        <v>21</v>
      </c>
      <c r="Z45" s="10">
        <f>IF($Z$6=1,$X$7,0)</f>
        <v>2006</v>
      </c>
      <c r="AA45" s="22">
        <f>VLOOKUP(Z45,$O$7:$U$10,7,0)</f>
        <v>0.40567246017320313</v>
      </c>
      <c r="AB45" s="19">
        <f>AA45/SUM(AA45:AA46)</f>
        <v>0.50221949335699645</v>
      </c>
    </row>
    <row r="46" spans="1:28" x14ac:dyDescent="0.25">
      <c r="B46" s="5" t="s">
        <v>41</v>
      </c>
      <c r="C46" s="17">
        <v>158432.91669999997</v>
      </c>
      <c r="N46" s="5" t="s">
        <v>62</v>
      </c>
      <c r="O46" s="17">
        <v>88975.183400000009</v>
      </c>
      <c r="P46" s="1">
        <f>GETPIVOTDATA("[Measures].[Sum of Profit]",$N$44,"[DimDate].[week type]","[DimDate].[week type].&amp;[Weekend]")/SUM(O45:O46)</f>
        <v>0.4310359070438895</v>
      </c>
      <c r="W46" s="28"/>
      <c r="Y46" s="10" t="s">
        <v>22</v>
      </c>
      <c r="Z46" s="10">
        <f>IF(OR($Z$6&gt;1,$X$7=2008),0,$X$7-1)</f>
        <v>2005</v>
      </c>
      <c r="AA46" s="22">
        <f>VLOOKUP(Z46,$O$7:$U$10,7,0)</f>
        <v>0.40208682742743951</v>
      </c>
      <c r="AB46" s="19">
        <f>AA46/SUM(AA45:AA46)</f>
        <v>0.49778050664300355</v>
      </c>
    </row>
    <row r="47" spans="1:28" x14ac:dyDescent="0.25">
      <c r="B47" s="5" t="s">
        <v>37</v>
      </c>
      <c r="C47" s="17">
        <v>206421.74340000004</v>
      </c>
      <c r="W47" s="28"/>
    </row>
    <row r="48" spans="1:28" x14ac:dyDescent="0.25">
      <c r="B48" s="5" t="s">
        <v>47</v>
      </c>
      <c r="C48" s="17">
        <v>248331.22520000002</v>
      </c>
      <c r="E48" s="26" t="s">
        <v>51</v>
      </c>
      <c r="F48" s="26"/>
      <c r="G48" s="26" t="str">
        <f>"in "&amp;X7</f>
        <v>in 2006</v>
      </c>
      <c r="W48" s="28"/>
      <c r="Y48" s="21" t="s">
        <v>25</v>
      </c>
      <c r="Z48" s="21"/>
      <c r="AA48" s="21"/>
      <c r="AB48" s="24">
        <f>AB45-AB46</f>
        <v>4.4389867139928985E-3</v>
      </c>
    </row>
    <row r="49" spans="1:28" x14ac:dyDescent="0.25">
      <c r="B49" s="5" t="s">
        <v>46</v>
      </c>
      <c r="C49" s="17">
        <v>189785.55600000001</v>
      </c>
      <c r="W49" s="28"/>
    </row>
    <row r="50" spans="1:28" x14ac:dyDescent="0.25">
      <c r="B50" s="5" t="s">
        <v>45</v>
      </c>
      <c r="C50" s="17">
        <v>100755.14390000002</v>
      </c>
      <c r="N50" s="21" t="s">
        <v>63</v>
      </c>
      <c r="O50" s="29">
        <f>MAX(P45:P46)</f>
        <v>0.5689640929561105</v>
      </c>
      <c r="W50" s="28"/>
    </row>
    <row r="51" spans="1:28" x14ac:dyDescent="0.25">
      <c r="B51" s="5" t="s">
        <v>38</v>
      </c>
      <c r="C51" s="17">
        <v>331050.35469999997</v>
      </c>
      <c r="N51" s="21" t="s">
        <v>64</v>
      </c>
      <c r="O51" s="30" t="str">
        <f>INDEX(N45:N46,MATCH(O50,P45:P46,0)) &amp; " Makes Up "</f>
        <v xml:space="preserve">Weekday Makes Up </v>
      </c>
      <c r="W51" s="28"/>
    </row>
    <row r="52" spans="1:28" x14ac:dyDescent="0.25">
      <c r="W52" s="28"/>
      <c r="Y52" s="20" t="s">
        <v>35</v>
      </c>
      <c r="Z52" s="20" t="s">
        <v>11</v>
      </c>
      <c r="AA52" s="20" t="s">
        <v>34</v>
      </c>
      <c r="AB52" s="20" t="s">
        <v>24</v>
      </c>
    </row>
    <row r="53" spans="1:28" x14ac:dyDescent="0.25">
      <c r="W53" s="28"/>
      <c r="Y53" s="10" t="s">
        <v>21</v>
      </c>
      <c r="Z53" s="10">
        <f>IF($Z$6=1,$X$7,0)</f>
        <v>2006</v>
      </c>
      <c r="AA53" s="15">
        <f>VLOOKUP(Z53,$O$7:$U$10,2,0)</f>
        <v>281</v>
      </c>
      <c r="AB53" s="19">
        <f>AA53/SUM(AA53:AA54)</f>
        <v>0.6430205949656751</v>
      </c>
    </row>
    <row r="54" spans="1:28" x14ac:dyDescent="0.25">
      <c r="W54" s="28"/>
      <c r="Y54" s="10" t="s">
        <v>22</v>
      </c>
      <c r="Z54" s="10">
        <f>IF(OR($Z$6&gt;1,$X$7=2008),0,$X$7-1)</f>
        <v>2005</v>
      </c>
      <c r="AA54" s="15">
        <f>VLOOKUP(Z54,$O$7:$U$10,2,0)</f>
        <v>156</v>
      </c>
      <c r="AB54" s="19">
        <f>AA54/SUM(AA53:AA54)</f>
        <v>0.35697940503432496</v>
      </c>
    </row>
    <row r="55" spans="1:28" x14ac:dyDescent="0.25">
      <c r="W55" s="28"/>
    </row>
    <row r="56" spans="1:28" x14ac:dyDescent="0.25">
      <c r="A56" s="31"/>
      <c r="B56" s="31"/>
      <c r="C56" s="31"/>
      <c r="D56" s="31"/>
      <c r="E56" s="31"/>
      <c r="F56" s="31"/>
      <c r="G56" s="31"/>
      <c r="H56" s="31"/>
      <c r="I56" s="31"/>
      <c r="J56" s="31"/>
      <c r="K56" s="31"/>
      <c r="L56" s="31"/>
      <c r="M56" s="31"/>
      <c r="N56" s="31"/>
      <c r="O56" s="31"/>
      <c r="P56" s="31"/>
      <c r="Q56" s="31"/>
      <c r="R56" s="31"/>
      <c r="S56" s="31"/>
      <c r="T56" s="31"/>
      <c r="U56" s="31"/>
      <c r="V56" s="31"/>
      <c r="W56" s="28"/>
      <c r="Y56" s="21" t="s">
        <v>25</v>
      </c>
      <c r="Z56" s="21"/>
      <c r="AA56" s="21"/>
      <c r="AB56" s="24">
        <f>AB53-AB54</f>
        <v>0.28604118993135014</v>
      </c>
    </row>
    <row r="57" spans="1:28" x14ac:dyDescent="0.25">
      <c r="W57" s="28"/>
    </row>
    <row r="58" spans="1:28" x14ac:dyDescent="0.25">
      <c r="W58" s="28"/>
    </row>
    <row r="59" spans="1:28" x14ac:dyDescent="0.25">
      <c r="W59" s="28"/>
    </row>
    <row r="60" spans="1:28" x14ac:dyDescent="0.25">
      <c r="N60" s="5"/>
      <c r="O60" s="17"/>
      <c r="W60" s="28"/>
    </row>
    <row r="61" spans="1:28" x14ac:dyDescent="0.25">
      <c r="N61" s="5"/>
      <c r="O61" s="6" t="s">
        <v>10</v>
      </c>
      <c r="P61" t="s">
        <v>4</v>
      </c>
      <c r="Q61" s="26" t="s">
        <v>16</v>
      </c>
      <c r="S61" s="17" t="str">
        <f>P61</f>
        <v xml:space="preserve"> Profit</v>
      </c>
    </row>
    <row r="62" spans="1:28" x14ac:dyDescent="0.25">
      <c r="N62" s="5"/>
      <c r="O62" s="5" t="s">
        <v>67</v>
      </c>
      <c r="P62" s="17">
        <v>479785.3078999999</v>
      </c>
      <c r="Q62" s="18">
        <f>GETPIVOTDATA("[Measures].[Sum of Profit]",O61,"[DimDate].[Quarter]","[DimDate].[Quarter].&amp;[Qtr-1]")/SUM($P$62:$P$65)</f>
        <v>0.21738301560469689</v>
      </c>
      <c r="S62" s="3">
        <f t="shared" ref="S62:S65" si="8">P62</f>
        <v>479785.3078999999</v>
      </c>
    </row>
    <row r="63" spans="1:28" x14ac:dyDescent="0.25">
      <c r="N63" s="5"/>
      <c r="O63" s="5" t="s">
        <v>68</v>
      </c>
      <c r="P63" s="17">
        <v>492534.32119999983</v>
      </c>
      <c r="Q63" s="18">
        <f>GETPIVOTDATA("[Measures].[Sum of Profit]",$O$61,"[DimDate].[Quarter]","[DimDate].[Quarter].&amp;[Qtr-2]")/SUM(P62:P65)</f>
        <v>0.22315938872722696</v>
      </c>
      <c r="S63" s="3">
        <f t="shared" si="8"/>
        <v>492534.32119999983</v>
      </c>
      <c r="W63" s="28"/>
    </row>
    <row r="64" spans="1:28" x14ac:dyDescent="0.25">
      <c r="N64" s="5"/>
      <c r="O64" s="5" t="s">
        <v>65</v>
      </c>
      <c r="P64" s="17">
        <v>613185.88530000008</v>
      </c>
      <c r="Q64" s="18">
        <f>GETPIVOTDATA("[Measures].[Sum of Profit]",$O$61,"[DimDate].[Quarter]","[DimDate].[Quarter].&amp;[Qtr-3]")/SUM(P62:P65)</f>
        <v>0.27782467424061325</v>
      </c>
      <c r="S64" s="3">
        <f t="shared" si="8"/>
        <v>613185.88530000008</v>
      </c>
    </row>
    <row r="65" spans="14:19" x14ac:dyDescent="0.25">
      <c r="N65" s="5"/>
      <c r="O65" s="5" t="s">
        <v>66</v>
      </c>
      <c r="P65" s="17">
        <v>621591.05459999992</v>
      </c>
      <c r="Q65" s="18">
        <f>GETPIVOTDATA("[Measures].[Sum of Profit]",$O$61,"[DimDate].[Quarter]","[DimDate].[Quarter].&amp;[Qtr-4]")/SUM(P62:P65)</f>
        <v>0.28163292142746293</v>
      </c>
      <c r="S65" s="3">
        <f t="shared" si="8"/>
        <v>621591.05459999992</v>
      </c>
    </row>
    <row r="66" spans="14:19" x14ac:dyDescent="0.25">
      <c r="N66" s="5"/>
    </row>
    <row r="67" spans="14:19" x14ac:dyDescent="0.25">
      <c r="N67" s="5"/>
      <c r="O67" s="17"/>
    </row>
    <row r="68" spans="14:19" x14ac:dyDescent="0.25">
      <c r="N68" s="5"/>
      <c r="O68" s="17"/>
    </row>
    <row r="69" spans="14:19" x14ac:dyDescent="0.25">
      <c r="N69" s="5"/>
      <c r="O69" s="17"/>
    </row>
    <row r="70" spans="14:19" x14ac:dyDescent="0.25">
      <c r="N70" s="5"/>
      <c r="O70" s="17"/>
    </row>
    <row r="71" spans="14:19" x14ac:dyDescent="0.25">
      <c r="N71" s="5"/>
      <c r="O71" s="17"/>
    </row>
    <row r="72" spans="14:19" x14ac:dyDescent="0.25">
      <c r="N72" s="5"/>
      <c r="O72" s="17"/>
    </row>
    <row r="73" spans="14:19" x14ac:dyDescent="0.25">
      <c r="N73" s="5"/>
      <c r="O73" s="17"/>
    </row>
    <row r="74" spans="14:19" x14ac:dyDescent="0.25">
      <c r="N74" s="5"/>
      <c r="O74" s="17"/>
    </row>
    <row r="75" spans="14:19" x14ac:dyDescent="0.25">
      <c r="N75" s="5"/>
      <c r="O75" s="17"/>
    </row>
    <row r="76" spans="14:19" x14ac:dyDescent="0.25">
      <c r="N76" s="5"/>
      <c r="O76" s="17"/>
    </row>
    <row r="77" spans="14:19" x14ac:dyDescent="0.25">
      <c r="N77" s="5"/>
      <c r="O77" s="17"/>
    </row>
    <row r="78" spans="14:19" x14ac:dyDescent="0.25">
      <c r="N78" s="5"/>
      <c r="O78" s="7"/>
    </row>
    <row r="79" spans="14:19" x14ac:dyDescent="0.25">
      <c r="N79" s="5"/>
      <c r="O79" s="7"/>
    </row>
    <row r="80" spans="14:19" x14ac:dyDescent="0.25">
      <c r="N80" s="5"/>
      <c r="O80" s="7"/>
    </row>
    <row r="81" spans="14:15" x14ac:dyDescent="0.25">
      <c r="N81" s="5"/>
      <c r="O81" s="7"/>
    </row>
    <row r="82" spans="14:15" x14ac:dyDescent="0.25">
      <c r="N82" s="5"/>
    </row>
    <row r="83" spans="14:15" x14ac:dyDescent="0.25">
      <c r="N83" s="5"/>
    </row>
    <row r="84" spans="14:15" x14ac:dyDescent="0.25">
      <c r="N84" s="5"/>
    </row>
    <row r="85" spans="14:15" x14ac:dyDescent="0.25">
      <c r="N85" s="5"/>
    </row>
    <row r="86" spans="14:15" x14ac:dyDescent="0.25">
      <c r="N86" s="5"/>
    </row>
    <row r="87" spans="14:15" x14ac:dyDescent="0.25">
      <c r="N87" s="5"/>
    </row>
    <row r="88" spans="14:15" x14ac:dyDescent="0.25">
      <c r="N88" s="5"/>
    </row>
    <row r="89" spans="14:15" x14ac:dyDescent="0.25">
      <c r="N89" s="5"/>
    </row>
    <row r="90" spans="14:15" x14ac:dyDescent="0.25">
      <c r="N90" s="5"/>
    </row>
    <row r="91" spans="14:15" x14ac:dyDescent="0.25">
      <c r="N91" s="5"/>
    </row>
    <row r="92" spans="14:15" x14ac:dyDescent="0.25">
      <c r="N92" s="5"/>
    </row>
    <row r="93" spans="14:15" x14ac:dyDescent="0.25">
      <c r="N93" s="5"/>
    </row>
    <row r="94" spans="14:15" x14ac:dyDescent="0.25">
      <c r="N94" s="5"/>
    </row>
    <row r="95" spans="14:15" x14ac:dyDescent="0.25">
      <c r="N95" s="5"/>
    </row>
  </sheetData>
  <phoneticPr fontId="5" type="noConversion"/>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21A5-46F4-4C5D-997C-E3D8683BB814}">
  <dimension ref="A6:L23"/>
  <sheetViews>
    <sheetView showGridLines="0" showRowColHeaders="0" tabSelected="1" zoomScale="101" workbookViewId="0">
      <selection activeCell="L23" sqref="A1:XFD1048576"/>
    </sheetView>
  </sheetViews>
  <sheetFormatPr defaultRowHeight="15" x14ac:dyDescent="0.25"/>
  <cols>
    <col min="1" max="1" width="19.28515625" bestFit="1" customWidth="1"/>
    <col min="2" max="2" width="28" bestFit="1" customWidth="1"/>
    <col min="3" max="3" width="22.42578125" bestFit="1" customWidth="1"/>
    <col min="4" max="4" width="23.42578125" bestFit="1" customWidth="1"/>
    <col min="5" max="5" width="21.7109375" bestFit="1" customWidth="1"/>
    <col min="6" max="6" width="21.5703125" bestFit="1" customWidth="1"/>
  </cols>
  <sheetData>
    <row r="6" spans="4:6" x14ac:dyDescent="0.25">
      <c r="D6" t="s">
        <v>7</v>
      </c>
      <c r="E6" t="s">
        <v>8</v>
      </c>
      <c r="F6" t="s">
        <v>9</v>
      </c>
    </row>
    <row r="18" spans="1:12" hidden="1" x14ac:dyDescent="0.25">
      <c r="A18">
        <f>GETPIVOTDATA("[Measures].[all products]",Analysis!$C$6)</f>
        <v>606</v>
      </c>
      <c r="F18">
        <f>GETPIVOTDATA("[Measures].[#transctions]",Analysis!$C$6)</f>
        <v>20</v>
      </c>
    </row>
    <row r="19" spans="1:12" hidden="1" x14ac:dyDescent="0.25">
      <c r="A19" s="3">
        <f>GETPIVOTDATA("[Measures].[Sum of COGS]",Analysis!$C$6)</f>
        <v>287633.76529999997</v>
      </c>
      <c r="B19" s="3">
        <f>GETPIVOTDATA("[Measures].[Sum of Total  Revenue]",Analysis!$C$6)</f>
        <v>494055.50869999989</v>
      </c>
      <c r="D19" s="3">
        <f>GETPIVOTDATA("[Measures].[Sum of Profit]",Analysis!$C$6)</f>
        <v>206421.74340000004</v>
      </c>
      <c r="E19" s="4">
        <f>GETPIVOTDATA("[Measures].[%mergin_profit]",Analysis!$C$6)</f>
        <v>0.41781083251789697</v>
      </c>
      <c r="K19" s="1">
        <f>Analysis!C34</f>
        <v>0.94746311622885926</v>
      </c>
    </row>
    <row r="20" spans="1:12" x14ac:dyDescent="0.25">
      <c r="E20" s="5"/>
    </row>
    <row r="23" spans="1:12" x14ac:dyDescent="0.25">
      <c r="L23" t="s">
        <v>14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7" r:id="rId3" name="Option Button 3">
              <controlPr defaultSize="0" autoFill="0" autoLine="0" autoPict="0">
                <anchor moveWithCells="1">
                  <from>
                    <xdr:col>6</xdr:col>
                    <xdr:colOff>266700</xdr:colOff>
                    <xdr:row>2</xdr:row>
                    <xdr:rowOff>180975</xdr:rowOff>
                  </from>
                  <to>
                    <xdr:col>7</xdr:col>
                    <xdr:colOff>523875</xdr:colOff>
                    <xdr:row>4</xdr:row>
                    <xdr:rowOff>38100</xdr:rowOff>
                  </to>
                </anchor>
              </controlPr>
            </control>
          </mc:Choice>
        </mc:AlternateContent>
        <mc:AlternateContent xmlns:mc="http://schemas.openxmlformats.org/markup-compatibility/2006">
          <mc:Choice Requires="x14">
            <control shapeId="1028" r:id="rId4" name="Option Button 4">
              <controlPr defaultSize="0" autoFill="0" autoLine="0" autoPict="0">
                <anchor moveWithCells="1">
                  <from>
                    <xdr:col>7</xdr:col>
                    <xdr:colOff>514350</xdr:colOff>
                    <xdr:row>2</xdr:row>
                    <xdr:rowOff>180975</xdr:rowOff>
                  </from>
                  <to>
                    <xdr:col>9</xdr:col>
                    <xdr:colOff>295275</xdr:colOff>
                    <xdr:row>3</xdr:row>
                    <xdr:rowOff>190500</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9</xdr:col>
                    <xdr:colOff>19050</xdr:colOff>
                    <xdr:row>2</xdr:row>
                    <xdr:rowOff>152400</xdr:rowOff>
                  </from>
                  <to>
                    <xdr:col>10</xdr:col>
                    <xdr:colOff>428625</xdr:colOff>
                    <xdr:row>3</xdr:row>
                    <xdr:rowOff>171450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BA4F1B0B-058A-4259-88F6-284AE5D7DBD3}">
  <ds:schemaRefs/>
</ds:datastoreItem>
</file>

<file path=customXml/itemProps2.xml><?xml version="1.0" encoding="utf-8"?>
<ds:datastoreItem xmlns:ds="http://schemas.openxmlformats.org/officeDocument/2006/customXml" ds:itemID="{EDF65F4E-B096-4BB6-B2CF-3B1A1FC1C162}">
  <ds:schemaRefs/>
</ds:datastoreItem>
</file>

<file path=customXml/itemProps3.xml><?xml version="1.0" encoding="utf-8"?>
<ds:datastoreItem xmlns:ds="http://schemas.openxmlformats.org/officeDocument/2006/customXml" ds:itemID="{ADF1AE62-58CC-466F-A3CD-95DFF32FC141}">
  <ds:schemaRefs/>
</ds:datastoreItem>
</file>

<file path=customXml/itemProps4.xml><?xml version="1.0" encoding="utf-8"?>
<ds:datastoreItem xmlns:ds="http://schemas.openxmlformats.org/officeDocument/2006/customXml" ds:itemID="{1776D118-5D1D-42D9-9359-2D9BE30EB689}">
  <ds:schemaRefs/>
</ds:datastoreItem>
</file>

<file path=customXml/itemProps5.xml><?xml version="1.0" encoding="utf-8"?>
<ds:datastoreItem xmlns:ds="http://schemas.openxmlformats.org/officeDocument/2006/customXml" ds:itemID="{90D2F770-9F91-400C-97D3-076FEA192902}">
  <ds:schemaRefs/>
</ds:datastoreItem>
</file>

<file path=customXml/itemProps6.xml><?xml version="1.0" encoding="utf-8"?>
<ds:datastoreItem xmlns:ds="http://schemas.openxmlformats.org/officeDocument/2006/customXml" ds:itemID="{8AE6A259-9AB3-49A2-8771-BEC30003576A}">
  <ds:schemaRefs/>
</ds:datastoreItem>
</file>

<file path=customXml/itemProps7.xml><?xml version="1.0" encoding="utf-8"?>
<ds:datastoreItem xmlns:ds="http://schemas.openxmlformats.org/officeDocument/2006/customXml" ds:itemID="{18FBA35A-B7BC-48BA-8316-812F05E51642}">
  <ds:schemaRefs/>
</ds:datastoreItem>
</file>

<file path=customXml/itemProps8.xml><?xml version="1.0" encoding="utf-8"?>
<ds:datastoreItem xmlns:ds="http://schemas.openxmlformats.org/officeDocument/2006/customXml" ds:itemID="{B3522BD4-6577-41AC-9DD3-7B7AFA8313F3}">
  <ds:schemaRefs/>
</ds:datastoreItem>
</file>

<file path=customXml/itemProps9.xml><?xml version="1.0" encoding="utf-8"?>
<ds:datastoreItem xmlns:ds="http://schemas.openxmlformats.org/officeDocument/2006/customXml" ds:itemID="{2A9D81B5-0F83-419C-8FE8-49D8E45A7EE0}">
  <ds:schemaRefs/>
</ds:datastoreItem>
</file>

<file path=customXml/itemProps10.xml><?xml version="1.0" encoding="utf-8"?>
<ds:datastoreItem xmlns:ds="http://schemas.openxmlformats.org/officeDocument/2006/customXml" ds:itemID="{081F01B0-6AA9-4A7E-AF2C-9186724D6593}">
  <ds:schemaRefs/>
</ds:datastoreItem>
</file>

<file path=customXml/itemProps11.xml><?xml version="1.0" encoding="utf-8"?>
<ds:datastoreItem xmlns:ds="http://schemas.openxmlformats.org/officeDocument/2006/customXml" ds:itemID="{1E942DA8-4D80-43D4-815A-20C54404850C}">
  <ds:schemaRefs/>
</ds:datastoreItem>
</file>

<file path=customXml/itemProps12.xml><?xml version="1.0" encoding="utf-8"?>
<ds:datastoreItem xmlns:ds="http://schemas.openxmlformats.org/officeDocument/2006/customXml" ds:itemID="{93990651-2CAA-40D9-8DF1-50A5C60C20F7}">
  <ds:schemaRefs/>
</ds:datastoreItem>
</file>

<file path=customXml/itemProps13.xml><?xml version="1.0" encoding="utf-8"?>
<ds:datastoreItem xmlns:ds="http://schemas.openxmlformats.org/officeDocument/2006/customXml" ds:itemID="{C99E4448-B20B-4C2C-BB6B-9B72D9FAAF01}">
  <ds:schemaRefs/>
</ds:datastoreItem>
</file>

<file path=customXml/itemProps14.xml><?xml version="1.0" encoding="utf-8"?>
<ds:datastoreItem xmlns:ds="http://schemas.openxmlformats.org/officeDocument/2006/customXml" ds:itemID="{14CD22B2-0754-47D6-8ADF-826FACAA15E2}">
  <ds:schemaRefs/>
</ds:datastoreItem>
</file>

<file path=customXml/itemProps15.xml><?xml version="1.0" encoding="utf-8"?>
<ds:datastoreItem xmlns:ds="http://schemas.openxmlformats.org/officeDocument/2006/customXml" ds:itemID="{0AA8260C-D601-4206-BC7D-699ECAE0D53D}">
  <ds:schemaRefs/>
</ds:datastoreItem>
</file>

<file path=customXml/itemProps16.xml><?xml version="1.0" encoding="utf-8"?>
<ds:datastoreItem xmlns:ds="http://schemas.openxmlformats.org/officeDocument/2006/customXml" ds:itemID="{A4D97215-11C3-4BA9-8C02-76D4CBD93132}">
  <ds:schemaRefs/>
</ds:datastoreItem>
</file>

<file path=customXml/itemProps17.xml><?xml version="1.0" encoding="utf-8"?>
<ds:datastoreItem xmlns:ds="http://schemas.openxmlformats.org/officeDocument/2006/customXml" ds:itemID="{752F1C7F-444F-4189-A881-A1BA9541B69C}">
  <ds:schemaRefs/>
</ds:datastoreItem>
</file>

<file path=customXml/itemProps18.xml><?xml version="1.0" encoding="utf-8"?>
<ds:datastoreItem xmlns:ds="http://schemas.openxmlformats.org/officeDocument/2006/customXml" ds:itemID="{4512A180-B95D-4F60-B55C-AA701EA3B0CE}">
  <ds:schemaRefs/>
</ds:datastoreItem>
</file>

<file path=customXml/itemProps19.xml><?xml version="1.0" encoding="utf-8"?>
<ds:datastoreItem xmlns:ds="http://schemas.openxmlformats.org/officeDocument/2006/customXml" ds:itemID="{A2858029-99BE-41B5-91A0-945792431F12}">
  <ds:schemaRefs/>
</ds:datastoreItem>
</file>

<file path=customXml/itemProps20.xml><?xml version="1.0" encoding="utf-8"?>
<ds:datastoreItem xmlns:ds="http://schemas.openxmlformats.org/officeDocument/2006/customXml" ds:itemID="{DD212B2B-516E-43E9-9139-DDC4156978D7}">
  <ds:schemaRefs/>
</ds:datastoreItem>
</file>

<file path=customXml/itemProps21.xml><?xml version="1.0" encoding="utf-8"?>
<ds:datastoreItem xmlns:ds="http://schemas.openxmlformats.org/officeDocument/2006/customXml" ds:itemID="{A6A2C395-99D9-43B1-85A8-1D458FB4C84F}">
  <ds:schemaRefs/>
</ds:datastoreItem>
</file>

<file path=customXml/itemProps22.xml><?xml version="1.0" encoding="utf-8"?>
<ds:datastoreItem xmlns:ds="http://schemas.openxmlformats.org/officeDocument/2006/customXml" ds:itemID="{7CE6F3A2-78BD-4A6A-AEE5-60DE3F0F5DF9}">
  <ds:schemaRefs>
    <ds:schemaRef ds:uri="http://schemas.microsoft.com/DataMashup"/>
  </ds:schemaRefs>
</ds:datastoreItem>
</file>

<file path=customXml/itemProps23.xml><?xml version="1.0" encoding="utf-8"?>
<ds:datastoreItem xmlns:ds="http://schemas.openxmlformats.org/officeDocument/2006/customXml" ds:itemID="{77330496-51E4-4F5D-A6F0-DC8888E25814}">
  <ds:schemaRefs/>
</ds:datastoreItem>
</file>

<file path=customXml/itemProps24.xml><?xml version="1.0" encoding="utf-8"?>
<ds:datastoreItem xmlns:ds="http://schemas.openxmlformats.org/officeDocument/2006/customXml" ds:itemID="{371F1BCD-779D-4076-8B38-49C7A552B87F}">
  <ds:schemaRefs/>
</ds:datastoreItem>
</file>

<file path=customXml/itemProps25.xml><?xml version="1.0" encoding="utf-8"?>
<ds:datastoreItem xmlns:ds="http://schemas.openxmlformats.org/officeDocument/2006/customXml" ds:itemID="{9EA62339-4A0A-4E46-9472-0CA513EE7422}">
  <ds:schemaRefs/>
</ds:datastoreItem>
</file>

<file path=customXml/itemProps26.xml><?xml version="1.0" encoding="utf-8"?>
<ds:datastoreItem xmlns:ds="http://schemas.openxmlformats.org/officeDocument/2006/customXml" ds:itemID="{6AB599EC-3F4A-4C63-88CD-FD3AC9CB72E6}">
  <ds:schemaRefs/>
</ds:datastoreItem>
</file>

<file path=customXml/itemProps27.xml><?xml version="1.0" encoding="utf-8"?>
<ds:datastoreItem xmlns:ds="http://schemas.openxmlformats.org/officeDocument/2006/customXml" ds:itemID="{8FC1AD9C-3FBC-4F90-B99D-10F046E59F96}">
  <ds:schemaRefs/>
</ds:datastoreItem>
</file>

<file path=customXml/itemProps28.xml><?xml version="1.0" encoding="utf-8"?>
<ds:datastoreItem xmlns:ds="http://schemas.openxmlformats.org/officeDocument/2006/customXml" ds:itemID="{F33176BE-A116-4401-9962-0A0D087F89C2}">
  <ds:schemaRefs/>
</ds:datastoreItem>
</file>

<file path=customXml/itemProps29.xml><?xml version="1.0" encoding="utf-8"?>
<ds:datastoreItem xmlns:ds="http://schemas.openxmlformats.org/officeDocument/2006/customXml" ds:itemID="{EEF82EC8-EB91-4A53-B473-5CA052DDF579}">
  <ds:schemaRefs/>
</ds:datastoreItem>
</file>

<file path=customXml/itemProps30.xml><?xml version="1.0" encoding="utf-8"?>
<ds:datastoreItem xmlns:ds="http://schemas.openxmlformats.org/officeDocument/2006/customXml" ds:itemID="{4EF7782D-1F60-4BF9-9A44-A2867929F536}">
  <ds:schemaRefs/>
</ds:datastoreItem>
</file>

<file path=customXml/itemProps31.xml><?xml version="1.0" encoding="utf-8"?>
<ds:datastoreItem xmlns:ds="http://schemas.openxmlformats.org/officeDocument/2006/customXml" ds:itemID="{CC1C4AB6-D624-47B9-ADF0-311310361230}">
  <ds:schemaRefs/>
</ds:datastoreItem>
</file>

<file path=customXml/itemProps32.xml><?xml version="1.0" encoding="utf-8"?>
<ds:datastoreItem xmlns:ds="http://schemas.openxmlformats.org/officeDocument/2006/customXml" ds:itemID="{5B30E4E8-4CAD-4844-AA08-D13C2DCB1205}">
  <ds:schemaRefs/>
</ds:datastoreItem>
</file>

<file path=customXml/itemProps33.xml><?xml version="1.0" encoding="utf-8"?>
<ds:datastoreItem xmlns:ds="http://schemas.openxmlformats.org/officeDocument/2006/customXml" ds:itemID="{3F5ADA9A-D58E-4A82-8C5F-6D74C1B48C64}">
  <ds:schemaRefs/>
</ds:datastoreItem>
</file>

<file path=customXml/itemProps34.xml><?xml version="1.0" encoding="utf-8"?>
<ds:datastoreItem xmlns:ds="http://schemas.openxmlformats.org/officeDocument/2006/customXml" ds:itemID="{933C8EB1-D1AA-4C1B-8514-76E693CBEF7B}">
  <ds:schemaRefs/>
</ds:datastoreItem>
</file>

<file path=customXml/itemProps35.xml><?xml version="1.0" encoding="utf-8"?>
<ds:datastoreItem xmlns:ds="http://schemas.openxmlformats.org/officeDocument/2006/customXml" ds:itemID="{366895B1-C0FC-490B-9899-3AA326CD6350}">
  <ds:schemaRefs/>
</ds:datastoreItem>
</file>

<file path=customXml/itemProps36.xml><?xml version="1.0" encoding="utf-8"?>
<ds:datastoreItem xmlns:ds="http://schemas.openxmlformats.org/officeDocument/2006/customXml" ds:itemID="{18ADED08-B2FB-426A-984D-89436997EDA2}">
  <ds:schemaRefs/>
</ds:datastoreItem>
</file>

<file path=customXml/itemProps37.xml><?xml version="1.0" encoding="utf-8"?>
<ds:datastoreItem xmlns:ds="http://schemas.openxmlformats.org/officeDocument/2006/customXml" ds:itemID="{0DCDAFD8-E932-46A7-B91E-06959638E42E}">
  <ds:schemaRefs/>
</ds:datastoreItem>
</file>

<file path=customXml/itemProps38.xml><?xml version="1.0" encoding="utf-8"?>
<ds:datastoreItem xmlns:ds="http://schemas.openxmlformats.org/officeDocument/2006/customXml" ds:itemID="{051EA469-943C-4C2A-AF00-DAFC7A38C1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HASNAA WAEL</dc:creator>
  <cp:lastModifiedBy>HASNAA WAEL</cp:lastModifiedBy>
  <dcterms:created xsi:type="dcterms:W3CDTF">2024-10-14T13:44:34Z</dcterms:created>
  <dcterms:modified xsi:type="dcterms:W3CDTF">2024-10-16T13:21:43Z</dcterms:modified>
</cp:coreProperties>
</file>