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1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https://almajdouieorg-my.sharepoint.com/personal/maatoukak_almajdouie_org/Documents/مؤسسة المجدوعي الخيرية/إدارة المساجد/مرافق مساجد المجدوعي/"/>
    </mc:Choice>
  </mc:AlternateContent>
  <xr:revisionPtr revIDLastSave="34691" documentId="14_{6E4B3839-F444-4904-BA76-D9781BD42D88}" xr6:coauthVersionLast="47" xr6:coauthVersionMax="47" xr10:uidLastSave="{9DD2A48B-AB69-4738-A87E-2FF1352BE752}"/>
  <bookViews>
    <workbookView xWindow="-120" yWindow="-120" windowWidth="20730" windowHeight="11040" tabRatio="912" xr2:uid="{00000000-000D-0000-FFFF-FFFF00000000}"/>
  </bookViews>
  <sheets>
    <sheet name="المرافق والمساجد" sheetId="98" r:id="rId1"/>
    <sheet name="مناطق ومدن السعودية" sheetId="105" r:id="rId2"/>
    <sheet name="مدخلات وبنود" sheetId="73" r:id="rId3"/>
    <sheet name="بيانات المرافق (للتفريغ والحذف)" sheetId="106" r:id="rId4"/>
  </sheets>
  <definedNames>
    <definedName name="_xlnm._FilterDatabase" localSheetId="3" hidden="1">'بيانات المرافق (للتفريغ والحذف)'!$A$1:$CG$5</definedName>
    <definedName name="ExternalData_16" localSheetId="0" hidden="1">'المرافق والمساجد'!#REF!</definedName>
    <definedName name="ExternalData_16" localSheetId="2" hidden="1">'مدخلات وبنود'!#REF!</definedName>
    <definedName name="ExternalData_17" localSheetId="0" hidden="1">'المرافق والمساجد'!#REF!</definedName>
    <definedName name="ExternalData_17" localSheetId="2" hidden="1">'مدخلات وبنود'!#REF!</definedName>
    <definedName name="ExternalData_18" localSheetId="0" hidden="1">'المرافق والمساجد'!#REF!</definedName>
    <definedName name="ExternalData_19" localSheetId="0" hidden="1">'المرافق والمساجد'!#REF!</definedName>
    <definedName name="ExternalData_19" localSheetId="2" hidden="1">'مدخلات وبنود'!#REF!</definedName>
    <definedName name="ExternalData_20" localSheetId="2" hidden="1">'مدخلات وبنود'!#REF!</definedName>
    <definedName name="ExternalData_21" localSheetId="2" hidden="1">'مدخلات وبنود'!#REF!</definedName>
    <definedName name="ExternalData_22" localSheetId="2" hidden="1">'مدخلات وبنود'!#REF!</definedName>
    <definedName name="ExternalData_23" localSheetId="2" hidden="1">'مدخلات وبنود'!#REF!</definedName>
    <definedName name="ExternalData_24" localSheetId="2" hidden="1">'مدخلات وبنود'!#REF!</definedName>
    <definedName name="ExternalData_5" localSheetId="0" hidden="1">'المرافق والمساجد'!#REF!</definedName>
    <definedName name="ExternalData_5" localSheetId="2" hidden="1">'مدخلات وبنود'!#REF!</definedName>
    <definedName name="ExternalData_6" localSheetId="0" hidden="1">'المرافق والمساجد'!#REF!</definedName>
    <definedName name="ExternalData_6" localSheetId="2" hidden="1">'مدخلات وبنود'!#REF!</definedName>
    <definedName name="_xlnm.Print_Area" localSheetId="0">'المرافق والمساجد'!$B$2:$BA$13</definedName>
    <definedName name="_xlnm.Print_Area" localSheetId="3">'بيانات المرافق (للتفريغ والحذف)'!$A$1:$CG$42</definedName>
    <definedName name="_xlnm.Print_Area" localSheetId="2">'مدخلات وبنود'!$B$2:$E$176</definedName>
    <definedName name="_xlnm.Print_Area" localSheetId="1">'مناطق ومدن السعودية'!$B$2:$AC$287</definedName>
    <definedName name="Title1">#REF!</definedName>
    <definedName name="Title2">#REF!</definedName>
    <definedName name="Title3">#REF!</definedName>
    <definedName name="البرامج_الدعوية">#REF!</definedName>
    <definedName name="البرامج_القرآنية">#REF!</definedName>
    <definedName name="الرواتب">#REF!</definedName>
    <definedName name="تصفيات_عهد">#REF!</definedName>
    <definedName name="تفطير_الصائمين">#REF!</definedName>
    <definedName name="مكافآت_الخطباء_والأئمة_والمؤذنين_والدعاة">#REF!</definedName>
    <definedName name="نثريات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itiativesOwners-b6fe9aa8-31c9-412e-97fa-e7846b08232d" name="InitiativesOwners" connection="Query - InitiativesOwners"/>
          <x15:modelTable id="InitiativesOwnersVer-34de12b5-ee13-4df5-91b4-47b8c74cebe0" name="InitiativesOwnersVer" connection="Query - InitiativesOwnersVer"/>
          <x15:modelTable id="InitiativesProgramsWithoutGEVer_5f7c7d62-08da-4a49-9838-1cb352202ad6" name="InitiativesProgramsWithoutGEVer" connection="Query - InitiativesProgramsWithoutGEVer"/>
          <x15:modelTable id="InitiativesProgramsWithoutGE_487e2d63-9c86-4ba2-8d31-6c7e4eeac8a4" name="InitiativesProgramsWithoutGE" connection="Query - InitiativesProgramsWithoutGE"/>
          <x15:modelTable id="IstrateegiaKPIs_1f7b5404-7a38-4fd9-8b4f-13fb10d23631" name="IstrateegiaKPIs" connection="Query - IstrateegiaKPIs"/>
          <x15:modelTable id="IstrateegiaStrategicDirectionsAudience_ab1620f5-bfea-46b0-a83f-c22f944ce3a0" name="IstrateegiaStrategicDirectionsAudience" connection="Query - IstrateegiaStrategicDirectionsAudience"/>
          <x15:modelTable id="PBIVer-b4b28c19-89cf-47d5-86c6-d34569f5fc4e" name="PBIVer" connection="Query - PBIVer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73" l="1"/>
  <c r="E10" i="73"/>
  <c r="E11" i="73"/>
  <c r="E12" i="73"/>
  <c r="E13" i="73"/>
  <c r="I80" i="73" a="1"/>
  <c r="I80" i="73" s="1"/>
  <c r="J80" i="73" s="1" a="1"/>
  <c r="J80" i="73" s="1"/>
  <c r="I79" i="73" a="1"/>
  <c r="I79" i="73" s="1"/>
  <c r="J79" i="73" s="1" a="1"/>
  <c r="J79" i="73" s="1"/>
  <c r="I78" i="73" a="1"/>
  <c r="I78" i="73" s="1"/>
  <c r="J78" i="73" s="1" a="1"/>
  <c r="J78" i="73" s="1"/>
  <c r="I77" i="73" a="1"/>
  <c r="I77" i="73" s="1"/>
  <c r="J77" i="73" s="1" a="1"/>
  <c r="J77" i="73" s="1"/>
  <c r="I76" i="73" a="1"/>
  <c r="I76" i="73" s="1"/>
  <c r="J76" i="73" s="1" a="1"/>
  <c r="J76" i="73" s="1"/>
  <c r="I75" i="73" a="1"/>
  <c r="I75" i="73" s="1"/>
  <c r="J75" i="73" s="1" a="1"/>
  <c r="J75" i="73" s="1"/>
  <c r="I74" i="73" a="1"/>
  <c r="I74" i="73" s="1"/>
  <c r="J74" i="73" s="1" a="1"/>
  <c r="J74" i="73" s="1"/>
  <c r="M74" i="73" s="1"/>
  <c r="I73" i="73" a="1"/>
  <c r="I73" i="73" s="1"/>
  <c r="J73" i="73" s="1" a="1"/>
  <c r="J73" i="73" s="1"/>
  <c r="I72" i="73" a="1"/>
  <c r="I72" i="73" s="1"/>
  <c r="J72" i="73" s="1" a="1"/>
  <c r="J72" i="73" s="1"/>
  <c r="I71" i="73" a="1"/>
  <c r="I71" i="73" s="1"/>
  <c r="J71" i="73" s="1" a="1"/>
  <c r="J71" i="73" s="1"/>
  <c r="I70" i="73" a="1"/>
  <c r="I70" i="73" s="1"/>
  <c r="J70" i="73" s="1" a="1"/>
  <c r="J70" i="73" s="1"/>
  <c r="I69" i="73" a="1"/>
  <c r="I69" i="73" s="1"/>
  <c r="J69" i="73" s="1" a="1"/>
  <c r="J69" i="73" s="1"/>
  <c r="I68" i="73" a="1"/>
  <c r="I68" i="73" s="1"/>
  <c r="J68" i="73" s="1" a="1"/>
  <c r="J68" i="73" s="1"/>
  <c r="N68" i="73" s="1"/>
  <c r="I67" i="73" a="1"/>
  <c r="I67" i="73" s="1"/>
  <c r="J67" i="73" s="1" a="1"/>
  <c r="J67" i="73" s="1"/>
  <c r="I66" i="73" a="1"/>
  <c r="I66" i="73" s="1"/>
  <c r="J66" i="73" s="1" a="1"/>
  <c r="J66" i="73" s="1"/>
  <c r="I65" i="73" a="1"/>
  <c r="I65" i="73" s="1"/>
  <c r="J65" i="73" s="1" a="1"/>
  <c r="J65" i="73" s="1"/>
  <c r="I64" i="73" a="1"/>
  <c r="I64" i="73" s="1"/>
  <c r="J64" i="73" s="1" a="1"/>
  <c r="J64" i="73" s="1"/>
  <c r="I63" i="73" a="1"/>
  <c r="I63" i="73" s="1"/>
  <c r="J63" i="73" s="1" a="1"/>
  <c r="J63" i="73" s="1"/>
  <c r="I62" i="73" a="1"/>
  <c r="I62" i="73" s="1"/>
  <c r="J62" i="73" s="1" a="1"/>
  <c r="J62" i="73" s="1"/>
  <c r="I61" i="73" a="1"/>
  <c r="I61" i="73" s="1"/>
  <c r="J61" i="73" s="1" a="1"/>
  <c r="J61" i="73" s="1"/>
  <c r="K61" i="73" s="1"/>
  <c r="I60" i="73" a="1"/>
  <c r="I60" i="73" s="1"/>
  <c r="J60" i="73" s="1" a="1"/>
  <c r="J60" i="73" s="1"/>
  <c r="P60" i="73" s="1"/>
  <c r="I59" i="73" a="1"/>
  <c r="I59" i="73" s="1"/>
  <c r="J59" i="73" s="1" a="1"/>
  <c r="J59" i="73" s="1"/>
  <c r="I58" i="73" a="1"/>
  <c r="I58" i="73" s="1"/>
  <c r="J58" i="73" s="1" a="1"/>
  <c r="J58" i="73" s="1"/>
  <c r="I57" i="73" a="1"/>
  <c r="I57" i="73" s="1"/>
  <c r="J57" i="73" s="1" a="1"/>
  <c r="J57" i="73" s="1"/>
  <c r="I56" i="73" a="1"/>
  <c r="I56" i="73" s="1"/>
  <c r="J56" i="73" s="1" a="1"/>
  <c r="J56" i="73" s="1"/>
  <c r="I55" i="73" a="1"/>
  <c r="I55" i="73" s="1"/>
  <c r="J55" i="73" s="1" a="1"/>
  <c r="J55" i="73" s="1"/>
  <c r="L55" i="73" s="1"/>
  <c r="I54" i="73" a="1"/>
  <c r="I54" i="73" s="1"/>
  <c r="J54" i="73" s="1" a="1"/>
  <c r="J54" i="73" s="1"/>
  <c r="I53" i="73" a="1"/>
  <c r="I53" i="73" s="1"/>
  <c r="J53" i="73" s="1" a="1"/>
  <c r="J53" i="73" s="1"/>
  <c r="I52" i="73" a="1"/>
  <c r="I52" i="73" s="1"/>
  <c r="J52" i="73" s="1" a="1"/>
  <c r="J52" i="73" s="1"/>
  <c r="I51" i="73" a="1"/>
  <c r="I51" i="73" s="1"/>
  <c r="J51" i="73" s="1" a="1"/>
  <c r="J51" i="73" s="1"/>
  <c r="I50" i="73" a="1"/>
  <c r="I50" i="73" s="1"/>
  <c r="J50" i="73" s="1" a="1"/>
  <c r="J50" i="73" s="1"/>
  <c r="I49" i="73" a="1"/>
  <c r="I49" i="73" s="1"/>
  <c r="J49" i="73" s="1" a="1"/>
  <c r="J49" i="73" s="1"/>
  <c r="I48" i="73" a="1"/>
  <c r="I48" i="73" s="1"/>
  <c r="J48" i="73" s="1" a="1"/>
  <c r="J48" i="73" s="1"/>
  <c r="L48" i="73" s="1"/>
  <c r="I47" i="73" a="1"/>
  <c r="I47" i="73" s="1"/>
  <c r="J47" i="73" s="1" a="1"/>
  <c r="J47" i="73" s="1"/>
  <c r="K47" i="73" s="1"/>
  <c r="I46" i="73" a="1"/>
  <c r="I46" i="73" s="1"/>
  <c r="J46" i="73" s="1" a="1"/>
  <c r="J46" i="73" s="1"/>
  <c r="I45" i="73" a="1"/>
  <c r="I45" i="73" s="1"/>
  <c r="J45" i="73" s="1" a="1"/>
  <c r="J45" i="73" s="1"/>
  <c r="O43" i="106"/>
  <c r="N43" i="106"/>
  <c r="M43" i="106"/>
  <c r="L43" i="106"/>
  <c r="F43" i="106"/>
  <c r="BV42" i="106"/>
  <c r="BR42" i="106"/>
  <c r="BN42" i="106"/>
  <c r="BJ42" i="106"/>
  <c r="BF42" i="106"/>
  <c r="BB42" i="106"/>
  <c r="AY42" i="106"/>
  <c r="AU42" i="106"/>
  <c r="S42" i="106"/>
  <c r="A42" i="106"/>
  <c r="BV41" i="106"/>
  <c r="BR41" i="106"/>
  <c r="BN41" i="106"/>
  <c r="BJ41" i="106"/>
  <c r="BF41" i="106"/>
  <c r="BB41" i="106"/>
  <c r="AY41" i="106"/>
  <c r="AU41" i="106"/>
  <c r="S41" i="106"/>
  <c r="A41" i="106"/>
  <c r="BV40" i="106"/>
  <c r="BR40" i="106"/>
  <c r="BN40" i="106"/>
  <c r="BJ40" i="106"/>
  <c r="BF40" i="106"/>
  <c r="BB40" i="106"/>
  <c r="AY40" i="106"/>
  <c r="AU40" i="106"/>
  <c r="S40" i="106"/>
  <c r="A40" i="106"/>
  <c r="BV39" i="106"/>
  <c r="BR39" i="106"/>
  <c r="BN39" i="106"/>
  <c r="BJ39" i="106"/>
  <c r="BF39" i="106"/>
  <c r="BB39" i="106"/>
  <c r="AY39" i="106"/>
  <c r="AU39" i="106"/>
  <c r="S39" i="106"/>
  <c r="A39" i="106"/>
  <c r="BV38" i="106"/>
  <c r="BR38" i="106"/>
  <c r="BN38" i="106"/>
  <c r="BJ38" i="106"/>
  <c r="BF38" i="106"/>
  <c r="BB38" i="106"/>
  <c r="AY38" i="106"/>
  <c r="AU38" i="106"/>
  <c r="S38" i="106"/>
  <c r="A38" i="106"/>
  <c r="BV37" i="106"/>
  <c r="BR37" i="106"/>
  <c r="BN37" i="106"/>
  <c r="BJ37" i="106"/>
  <c r="BF37" i="106"/>
  <c r="BB37" i="106"/>
  <c r="AY37" i="106"/>
  <c r="AU37" i="106"/>
  <c r="S37" i="106"/>
  <c r="A37" i="106"/>
  <c r="BV36" i="106"/>
  <c r="BR36" i="106"/>
  <c r="BN36" i="106"/>
  <c r="BJ36" i="106"/>
  <c r="BF36" i="106"/>
  <c r="BB36" i="106"/>
  <c r="AY36" i="106"/>
  <c r="AU36" i="106"/>
  <c r="S36" i="106"/>
  <c r="A36" i="106"/>
  <c r="BV35" i="106"/>
  <c r="BR35" i="106"/>
  <c r="BN35" i="106"/>
  <c r="BJ35" i="106"/>
  <c r="BF35" i="106"/>
  <c r="BB35" i="106"/>
  <c r="AY35" i="106"/>
  <c r="AU35" i="106"/>
  <c r="S35" i="106"/>
  <c r="A35" i="106"/>
  <c r="BV34" i="106"/>
  <c r="BR34" i="106"/>
  <c r="BN34" i="106"/>
  <c r="BJ34" i="106"/>
  <c r="BF34" i="106"/>
  <c r="BB34" i="106"/>
  <c r="AY34" i="106"/>
  <c r="AU34" i="106"/>
  <c r="S34" i="106"/>
  <c r="A34" i="106"/>
  <c r="BV33" i="106"/>
  <c r="BR33" i="106"/>
  <c r="BN33" i="106"/>
  <c r="BJ33" i="106"/>
  <c r="BF33" i="106"/>
  <c r="BB33" i="106"/>
  <c r="AY33" i="106"/>
  <c r="AU33" i="106"/>
  <c r="S33" i="106"/>
  <c r="A33" i="106"/>
  <c r="BV32" i="106"/>
  <c r="BR32" i="106"/>
  <c r="BN32" i="106"/>
  <c r="BJ32" i="106"/>
  <c r="BF32" i="106"/>
  <c r="BB32" i="106"/>
  <c r="AY32" i="106"/>
  <c r="AU32" i="106"/>
  <c r="S32" i="106"/>
  <c r="A32" i="106"/>
  <c r="BV31" i="106"/>
  <c r="BR31" i="106"/>
  <c r="BN31" i="106"/>
  <c r="BJ31" i="106"/>
  <c r="BF31" i="106"/>
  <c r="BB31" i="106"/>
  <c r="AY31" i="106"/>
  <c r="AU31" i="106"/>
  <c r="S31" i="106"/>
  <c r="A31" i="106"/>
  <c r="BV30" i="106"/>
  <c r="BR30" i="106"/>
  <c r="BN30" i="106"/>
  <c r="BJ30" i="106"/>
  <c r="BF30" i="106"/>
  <c r="BB30" i="106"/>
  <c r="AY30" i="106"/>
  <c r="AU30" i="106"/>
  <c r="S30" i="106"/>
  <c r="A30" i="106"/>
  <c r="BV29" i="106"/>
  <c r="BR29" i="106"/>
  <c r="BN29" i="106"/>
  <c r="BJ29" i="106"/>
  <c r="BF29" i="106"/>
  <c r="BB29" i="106"/>
  <c r="AY29" i="106"/>
  <c r="AU29" i="106"/>
  <c r="S29" i="106"/>
  <c r="A29" i="106"/>
  <c r="BV28" i="106"/>
  <c r="BR28" i="106"/>
  <c r="BN28" i="106"/>
  <c r="BJ28" i="106"/>
  <c r="BF28" i="106"/>
  <c r="BB28" i="106"/>
  <c r="AY28" i="106"/>
  <c r="AU28" i="106"/>
  <c r="S28" i="106"/>
  <c r="A28" i="106"/>
  <c r="BV27" i="106"/>
  <c r="BR27" i="106"/>
  <c r="BN27" i="106"/>
  <c r="BJ27" i="106"/>
  <c r="BF27" i="106"/>
  <c r="BB27" i="106"/>
  <c r="AY27" i="106"/>
  <c r="AU27" i="106"/>
  <c r="S27" i="106"/>
  <c r="A27" i="106"/>
  <c r="BV26" i="106"/>
  <c r="BR26" i="106"/>
  <c r="BN26" i="106"/>
  <c r="BJ26" i="106"/>
  <c r="BF26" i="106"/>
  <c r="BB26" i="106"/>
  <c r="AY26" i="106"/>
  <c r="AU26" i="106"/>
  <c r="S26" i="106"/>
  <c r="A26" i="106"/>
  <c r="BV25" i="106"/>
  <c r="BR25" i="106"/>
  <c r="BN25" i="106"/>
  <c r="BJ25" i="106"/>
  <c r="BF25" i="106"/>
  <c r="BB25" i="106"/>
  <c r="AY25" i="106"/>
  <c r="AU25" i="106"/>
  <c r="S25" i="106"/>
  <c r="A25" i="106"/>
  <c r="BV24" i="106"/>
  <c r="BR24" i="106"/>
  <c r="BN24" i="106"/>
  <c r="BJ24" i="106"/>
  <c r="BF24" i="106"/>
  <c r="BB24" i="106"/>
  <c r="AY24" i="106"/>
  <c r="AU24" i="106"/>
  <c r="S24" i="106"/>
  <c r="A24" i="106"/>
  <c r="BV23" i="106"/>
  <c r="BR23" i="106"/>
  <c r="BN23" i="106"/>
  <c r="BJ23" i="106"/>
  <c r="BF23" i="106"/>
  <c r="BB23" i="106"/>
  <c r="AY23" i="106"/>
  <c r="AU23" i="106"/>
  <c r="S23" i="106"/>
  <c r="A23" i="106"/>
  <c r="BV22" i="106"/>
  <c r="BR22" i="106"/>
  <c r="BN22" i="106"/>
  <c r="BJ22" i="106"/>
  <c r="BF22" i="106"/>
  <c r="BB22" i="106"/>
  <c r="AY22" i="106"/>
  <c r="AU22" i="106"/>
  <c r="S22" i="106"/>
  <c r="A22" i="106"/>
  <c r="BV21" i="106"/>
  <c r="BR21" i="106"/>
  <c r="BN21" i="106"/>
  <c r="BJ21" i="106"/>
  <c r="BF21" i="106"/>
  <c r="BB21" i="106"/>
  <c r="AY21" i="106"/>
  <c r="AU21" i="106"/>
  <c r="S21" i="106"/>
  <c r="A21" i="106"/>
  <c r="BV20" i="106"/>
  <c r="BR20" i="106"/>
  <c r="BN20" i="106"/>
  <c r="BJ20" i="106"/>
  <c r="BF20" i="106"/>
  <c r="BB20" i="106"/>
  <c r="AY20" i="106"/>
  <c r="AU20" i="106"/>
  <c r="S20" i="106"/>
  <c r="A20" i="106"/>
  <c r="BV19" i="106"/>
  <c r="BR19" i="106"/>
  <c r="BN19" i="106"/>
  <c r="BJ19" i="106"/>
  <c r="BF19" i="106"/>
  <c r="BB19" i="106"/>
  <c r="AY19" i="106"/>
  <c r="AU19" i="106"/>
  <c r="S19" i="106"/>
  <c r="A19" i="106"/>
  <c r="BV18" i="106"/>
  <c r="BR18" i="106"/>
  <c r="BN18" i="106"/>
  <c r="BJ18" i="106"/>
  <c r="BF18" i="106"/>
  <c r="BB18" i="106"/>
  <c r="AY18" i="106"/>
  <c r="AU18" i="106"/>
  <c r="S18" i="106"/>
  <c r="A18" i="106"/>
  <c r="CO17" i="106"/>
  <c r="CL17" i="106"/>
  <c r="BV17" i="106"/>
  <c r="BR17" i="106"/>
  <c r="BN17" i="106"/>
  <c r="BJ17" i="106"/>
  <c r="BF17" i="106"/>
  <c r="BB17" i="106"/>
  <c r="AY17" i="106"/>
  <c r="AU17" i="106"/>
  <c r="S17" i="106"/>
  <c r="A17" i="106"/>
  <c r="CO16" i="106"/>
  <c r="CL16" i="106"/>
  <c r="BV16" i="106"/>
  <c r="BR16" i="106"/>
  <c r="BN16" i="106"/>
  <c r="BJ16" i="106"/>
  <c r="BF16" i="106"/>
  <c r="BB16" i="106"/>
  <c r="AY16" i="106"/>
  <c r="AU16" i="106"/>
  <c r="S16" i="106"/>
  <c r="A16" i="106"/>
  <c r="CO15" i="106"/>
  <c r="CL15" i="106"/>
  <c r="BV15" i="106"/>
  <c r="BR15" i="106"/>
  <c r="BN15" i="106"/>
  <c r="BJ15" i="106"/>
  <c r="BF15" i="106"/>
  <c r="BB15" i="106"/>
  <c r="AY15" i="106"/>
  <c r="CL9" i="106" s="1"/>
  <c r="AU15" i="106"/>
  <c r="S15" i="106"/>
  <c r="A15" i="106"/>
  <c r="CO14" i="106"/>
  <c r="CL14" i="106"/>
  <c r="BV14" i="106"/>
  <c r="BR14" i="106"/>
  <c r="BN14" i="106"/>
  <c r="BJ14" i="106"/>
  <c r="BF14" i="106"/>
  <c r="BB14" i="106"/>
  <c r="AY14" i="106"/>
  <c r="AU14" i="106"/>
  <c r="S14" i="106"/>
  <c r="A14" i="106"/>
  <c r="CO13" i="106"/>
  <c r="CL13" i="106"/>
  <c r="BV13" i="106"/>
  <c r="BR13" i="106"/>
  <c r="BN13" i="106"/>
  <c r="BJ13" i="106"/>
  <c r="BF13" i="106"/>
  <c r="BB13" i="106"/>
  <c r="AY13" i="106"/>
  <c r="AU13" i="106"/>
  <c r="S13" i="106"/>
  <c r="A13" i="106"/>
  <c r="CO12" i="106"/>
  <c r="CL12" i="106"/>
  <c r="BV12" i="106"/>
  <c r="BR12" i="106"/>
  <c r="BN12" i="106"/>
  <c r="BJ12" i="106"/>
  <c r="BF12" i="106"/>
  <c r="BB12" i="106"/>
  <c r="AY12" i="106"/>
  <c r="AU12" i="106"/>
  <c r="S12" i="106"/>
  <c r="A12" i="106"/>
  <c r="CO11" i="106"/>
  <c r="CN11" i="106"/>
  <c r="CM11" i="106"/>
  <c r="CL11" i="106"/>
  <c r="BV11" i="106"/>
  <c r="BR11" i="106"/>
  <c r="BN11" i="106"/>
  <c r="BJ11" i="106"/>
  <c r="BF11" i="106"/>
  <c r="BB11" i="106"/>
  <c r="AY11" i="106"/>
  <c r="AU11" i="106"/>
  <c r="S11" i="106"/>
  <c r="A11" i="106"/>
  <c r="CO10" i="106"/>
  <c r="CN10" i="106"/>
  <c r="CM10" i="106"/>
  <c r="CL10" i="106"/>
  <c r="BV10" i="106"/>
  <c r="BR10" i="106"/>
  <c r="BN10" i="106"/>
  <c r="BJ10" i="106"/>
  <c r="BF10" i="106"/>
  <c r="BB10" i="106"/>
  <c r="AY10" i="106"/>
  <c r="AU10" i="106"/>
  <c r="S10" i="106"/>
  <c r="A10" i="106"/>
  <c r="BV9" i="106"/>
  <c r="BR9" i="106"/>
  <c r="BN9" i="106"/>
  <c r="BJ9" i="106"/>
  <c r="BF9" i="106"/>
  <c r="BB9" i="106"/>
  <c r="AY9" i="106"/>
  <c r="AU9" i="106"/>
  <c r="S9" i="106"/>
  <c r="A9" i="106"/>
  <c r="BV8" i="106"/>
  <c r="BR8" i="106"/>
  <c r="BN8" i="106"/>
  <c r="BJ8" i="106"/>
  <c r="BF8" i="106"/>
  <c r="BB8" i="106"/>
  <c r="AY8" i="106"/>
  <c r="AU8" i="106"/>
  <c r="S8" i="106"/>
  <c r="A8" i="106"/>
  <c r="CO7" i="106"/>
  <c r="BV7" i="106"/>
  <c r="BR7" i="106"/>
  <c r="BN7" i="106"/>
  <c r="BJ7" i="106"/>
  <c r="BF7" i="106"/>
  <c r="BB7" i="106"/>
  <c r="AY7" i="106"/>
  <c r="AU7" i="106"/>
  <c r="S7" i="106"/>
  <c r="A7" i="106"/>
  <c r="CO6" i="106"/>
  <c r="CO9" i="106" l="1"/>
  <c r="CN15" i="106"/>
  <c r="CM9" i="106"/>
  <c r="CN16" i="106"/>
  <c r="CN7" i="106"/>
  <c r="CO8" i="106"/>
  <c r="L46" i="73"/>
  <c r="P46" i="73"/>
  <c r="Q46" i="73"/>
  <c r="O46" i="73"/>
  <c r="S46" i="73"/>
  <c r="R46" i="73"/>
  <c r="M59" i="73"/>
  <c r="O59" i="73"/>
  <c r="S59" i="73"/>
  <c r="P59" i="73"/>
  <c r="Q59" i="73"/>
  <c r="R59" i="73"/>
  <c r="CM15" i="106"/>
  <c r="K70" i="73"/>
  <c r="L70" i="73"/>
  <c r="M70" i="73"/>
  <c r="N70" i="73"/>
  <c r="O70" i="73"/>
  <c r="P70" i="73"/>
  <c r="Q70" i="73"/>
  <c r="R70" i="73"/>
  <c r="S70" i="73"/>
  <c r="M50" i="73"/>
  <c r="Q50" i="73"/>
  <c r="R50" i="73"/>
  <c r="S50" i="73"/>
  <c r="K62" i="73"/>
  <c r="S62" i="73"/>
  <c r="K66" i="73"/>
  <c r="P66" i="73"/>
  <c r="L66" i="73"/>
  <c r="M66" i="73"/>
  <c r="N66" i="73"/>
  <c r="O66" i="73"/>
  <c r="Q66" i="73"/>
  <c r="N80" i="73"/>
  <c r="M80" i="73"/>
  <c r="M58" i="73"/>
  <c r="K58" i="73"/>
  <c r="L58" i="73"/>
  <c r="O58" i="73"/>
  <c r="P58" i="73"/>
  <c r="Q58" i="73"/>
  <c r="R58" i="73"/>
  <c r="S58" i="73"/>
  <c r="K71" i="73"/>
  <c r="P71" i="73"/>
  <c r="Q71" i="73"/>
  <c r="R71" i="73"/>
  <c r="S71" i="73"/>
  <c r="M49" i="73"/>
  <c r="R49" i="73"/>
  <c r="S49" i="73"/>
  <c r="N56" i="73"/>
  <c r="M56" i="73"/>
  <c r="S53" i="73"/>
  <c r="K53" i="73"/>
  <c r="P53" i="73"/>
  <c r="R53" i="73"/>
  <c r="L53" i="73"/>
  <c r="M53" i="73"/>
  <c r="N53" i="73"/>
  <c r="O53" i="73"/>
  <c r="Q53" i="73"/>
  <c r="S77" i="73"/>
  <c r="K77" i="73"/>
  <c r="L77" i="73"/>
  <c r="M77" i="73"/>
  <c r="N77" i="73"/>
  <c r="O77" i="73"/>
  <c r="P77" i="73"/>
  <c r="Q77" i="73"/>
  <c r="R77" i="73"/>
  <c r="K79" i="73"/>
  <c r="N79" i="73"/>
  <c r="P79" i="73"/>
  <c r="O79" i="73"/>
  <c r="O67" i="73"/>
  <c r="L67" i="73"/>
  <c r="M67" i="73"/>
  <c r="N67" i="73"/>
  <c r="L72" i="73"/>
  <c r="Q72" i="73"/>
  <c r="R72" i="73"/>
  <c r="K72" i="73"/>
  <c r="S72" i="73"/>
  <c r="N73" i="73"/>
  <c r="R73" i="73"/>
  <c r="S73" i="73"/>
  <c r="P54" i="73"/>
  <c r="O54" i="73"/>
  <c r="K54" i="73"/>
  <c r="M54" i="73"/>
  <c r="N54" i="73"/>
  <c r="L54" i="73"/>
  <c r="Q65" i="73"/>
  <c r="P65" i="73"/>
  <c r="K65" i="73"/>
  <c r="L65" i="73"/>
  <c r="M65" i="73"/>
  <c r="N65" i="73"/>
  <c r="O65" i="73"/>
  <c r="P78" i="73"/>
  <c r="O78" i="73"/>
  <c r="K78" i="73"/>
  <c r="L78" i="73"/>
  <c r="M78" i="73"/>
  <c r="N78" i="73"/>
  <c r="O55" i="73"/>
  <c r="K46" i="73"/>
  <c r="N46" i="73"/>
  <c r="M46" i="73"/>
  <c r="P55" i="73"/>
  <c r="L59" i="73"/>
  <c r="K59" i="73"/>
  <c r="S74" i="73"/>
  <c r="N55" i="73"/>
  <c r="R74" i="73"/>
  <c r="S60" i="73"/>
  <c r="S47" i="73"/>
  <c r="R60" i="73"/>
  <c r="R47" i="73"/>
  <c r="P47" i="73"/>
  <c r="S61" i="73"/>
  <c r="R61" i="73"/>
  <c r="S48" i="73"/>
  <c r="Q61" i="73"/>
  <c r="R48" i="73"/>
  <c r="Q48" i="73"/>
  <c r="Q60" i="73"/>
  <c r="Q47" i="73"/>
  <c r="P48" i="73"/>
  <c r="K48" i="73"/>
  <c r="L57" i="73"/>
  <c r="N57" i="73"/>
  <c r="M57" i="73"/>
  <c r="K57" i="73"/>
  <c r="O57" i="73"/>
  <c r="R57" i="73"/>
  <c r="P57" i="73"/>
  <c r="Q57" i="73"/>
  <c r="S57" i="73"/>
  <c r="R76" i="73"/>
  <c r="S76" i="73"/>
  <c r="Q76" i="73"/>
  <c r="K76" i="73"/>
  <c r="L76" i="73"/>
  <c r="M76" i="73"/>
  <c r="N76" i="73"/>
  <c r="O76" i="73"/>
  <c r="P76" i="73"/>
  <c r="L75" i="73"/>
  <c r="M75" i="73"/>
  <c r="K75" i="73"/>
  <c r="N75" i="73"/>
  <c r="P75" i="73"/>
  <c r="Q75" i="73"/>
  <c r="O75" i="73"/>
  <c r="R75" i="73"/>
  <c r="S75" i="73"/>
  <c r="R52" i="73"/>
  <c r="S52" i="73"/>
  <c r="K52" i="73"/>
  <c r="Q52" i="73"/>
  <c r="L52" i="73"/>
  <c r="M52" i="73"/>
  <c r="N52" i="73"/>
  <c r="O52" i="73"/>
  <c r="P52" i="73"/>
  <c r="L64" i="73"/>
  <c r="Q64" i="73"/>
  <c r="S64" i="73"/>
  <c r="K64" i="73"/>
  <c r="R64" i="73"/>
  <c r="M64" i="73"/>
  <c r="O64" i="73"/>
  <c r="N64" i="73"/>
  <c r="P64" i="73"/>
  <c r="L51" i="73"/>
  <c r="M51" i="73"/>
  <c r="N51" i="73"/>
  <c r="K51" i="73"/>
  <c r="P51" i="73"/>
  <c r="R51" i="73"/>
  <c r="Q51" i="73"/>
  <c r="S51" i="73"/>
  <c r="O51" i="73"/>
  <c r="S63" i="73"/>
  <c r="R63" i="73"/>
  <c r="K63" i="73"/>
  <c r="M63" i="73"/>
  <c r="O63" i="73"/>
  <c r="L63" i="73"/>
  <c r="N63" i="73"/>
  <c r="P63" i="73"/>
  <c r="Q63" i="73"/>
  <c r="M69" i="73"/>
  <c r="N69" i="73"/>
  <c r="O69" i="73"/>
  <c r="P69" i="73"/>
  <c r="Q69" i="73"/>
  <c r="R69" i="73"/>
  <c r="S69" i="73"/>
  <c r="L69" i="73"/>
  <c r="K69" i="73"/>
  <c r="L56" i="73"/>
  <c r="Q74" i="73"/>
  <c r="K80" i="73"/>
  <c r="P74" i="73"/>
  <c r="O74" i="73"/>
  <c r="N50" i="73"/>
  <c r="O61" i="73"/>
  <c r="O48" i="73"/>
  <c r="N61" i="73"/>
  <c r="S68" i="73"/>
  <c r="O72" i="73"/>
  <c r="L50" i="73"/>
  <c r="S55" i="73"/>
  <c r="N72" i="73"/>
  <c r="L74" i="73"/>
  <c r="S79" i="73"/>
  <c r="M48" i="73"/>
  <c r="K50" i="73"/>
  <c r="R55" i="73"/>
  <c r="N59" i="73"/>
  <c r="L61" i="73"/>
  <c r="S66" i="73"/>
  <c r="Q68" i="73"/>
  <c r="M72" i="73"/>
  <c r="K74" i="73"/>
  <c r="R79" i="73"/>
  <c r="L80" i="73"/>
  <c r="K56" i="73"/>
  <c r="P50" i="73"/>
  <c r="K67" i="73"/>
  <c r="O50" i="73"/>
  <c r="P61" i="73"/>
  <c r="P72" i="73"/>
  <c r="N74" i="73"/>
  <c r="N48" i="73"/>
  <c r="M61" i="73"/>
  <c r="R68" i="73"/>
  <c r="Q55" i="73"/>
  <c r="R66" i="73"/>
  <c r="P68" i="73"/>
  <c r="Q79" i="73"/>
  <c r="M55" i="73"/>
  <c r="R62" i="73"/>
  <c r="L68" i="73"/>
  <c r="Q49" i="73"/>
  <c r="M79" i="73"/>
  <c r="Q62" i="73"/>
  <c r="L79" i="73"/>
  <c r="K55" i="73"/>
  <c r="O62" i="73"/>
  <c r="M68" i="73"/>
  <c r="K68" i="73"/>
  <c r="P62" i="73"/>
  <c r="P73" i="73"/>
  <c r="N62" i="73"/>
  <c r="O60" i="73"/>
  <c r="M62" i="73"/>
  <c r="O47" i="73"/>
  <c r="N60" i="73"/>
  <c r="L62" i="73"/>
  <c r="S67" i="73"/>
  <c r="O71" i="73"/>
  <c r="M73" i="73"/>
  <c r="R80" i="73"/>
  <c r="N47" i="73"/>
  <c r="L49" i="73"/>
  <c r="S54" i="73"/>
  <c r="Q56" i="73"/>
  <c r="M60" i="73"/>
  <c r="R67" i="73"/>
  <c r="N71" i="73"/>
  <c r="L73" i="73"/>
  <c r="S78" i="73"/>
  <c r="Q80" i="73"/>
  <c r="M47" i="73"/>
  <c r="K49" i="73"/>
  <c r="R54" i="73"/>
  <c r="P56" i="73"/>
  <c r="N58" i="73"/>
  <c r="L60" i="73"/>
  <c r="S65" i="73"/>
  <c r="Q67" i="73"/>
  <c r="M71" i="73"/>
  <c r="K73" i="73"/>
  <c r="R78" i="73"/>
  <c r="P80" i="73"/>
  <c r="L47" i="73"/>
  <c r="Q54" i="73"/>
  <c r="O56" i="73"/>
  <c r="K60" i="73"/>
  <c r="R65" i="73"/>
  <c r="P67" i="73"/>
  <c r="L71" i="73"/>
  <c r="Q78" i="73"/>
  <c r="O80" i="73"/>
  <c r="O68" i="73"/>
  <c r="Q73" i="73"/>
  <c r="P49" i="73"/>
  <c r="O49" i="73"/>
  <c r="O73" i="73"/>
  <c r="N49" i="73"/>
  <c r="S56" i="73"/>
  <c r="S80" i="73"/>
  <c r="R56" i="73"/>
  <c r="L45" i="73"/>
  <c r="O45" i="73"/>
  <c r="K45" i="73"/>
  <c r="M45" i="73"/>
  <c r="N45" i="73"/>
  <c r="P45" i="73"/>
  <c r="Q45" i="73"/>
  <c r="R45" i="73"/>
  <c r="S45" i="73"/>
  <c r="CL8" i="106"/>
  <c r="CM16" i="106"/>
  <c r="CM12" i="106"/>
  <c r="CP11" i="106"/>
  <c r="CL7" i="106"/>
  <c r="CN8" i="106"/>
  <c r="CM13" i="106"/>
  <c r="CN14" i="106"/>
  <c r="CM7" i="106"/>
  <c r="CN6" i="106"/>
  <c r="CN12" i="106"/>
  <c r="CP10" i="106"/>
  <c r="CM8" i="106"/>
  <c r="CM17" i="106"/>
  <c r="CN17" i="106"/>
  <c r="CL6" i="106"/>
  <c r="CM14" i="106"/>
  <c r="CN9" i="106"/>
  <c r="CM6" i="106"/>
  <c r="CN13" i="106"/>
  <c r="CP16" i="106" l="1"/>
  <c r="CP9" i="106"/>
  <c r="CP15" i="106"/>
  <c r="CP8" i="106"/>
  <c r="CP7" i="106"/>
  <c r="CP12" i="106"/>
  <c r="CP13" i="106"/>
  <c r="CP14" i="106"/>
  <c r="CP17" i="106"/>
  <c r="CP6" i="106"/>
  <c r="I9" i="73" l="1" a="1"/>
  <c r="I9" i="73" s="1"/>
  <c r="J9" i="73" s="1" a="1"/>
  <c r="J9" i="73" s="1"/>
  <c r="I10" i="73" a="1"/>
  <c r="I10" i="73" s="1"/>
  <c r="J10" i="73" s="1" a="1"/>
  <c r="J10" i="73" s="1"/>
  <c r="I11" i="73" a="1"/>
  <c r="I11" i="73" s="1"/>
  <c r="J11" i="73" s="1" a="1"/>
  <c r="J11" i="73" s="1"/>
  <c r="I12" i="73" a="1"/>
  <c r="I12" i="73" s="1"/>
  <c r="J12" i="73" s="1" a="1"/>
  <c r="J12" i="73" s="1"/>
  <c r="I13" i="73" a="1"/>
  <c r="I13" i="73" s="1"/>
  <c r="J13" i="73" s="1" a="1"/>
  <c r="J13" i="73" s="1"/>
  <c r="I14" i="73" a="1"/>
  <c r="I14" i="73" s="1"/>
  <c r="J14" i="73" s="1" a="1"/>
  <c r="J14" i="73" s="1"/>
  <c r="I15" i="73" a="1"/>
  <c r="I15" i="73" s="1"/>
  <c r="J15" i="73" s="1" a="1"/>
  <c r="J15" i="73" s="1"/>
  <c r="I16" i="73" a="1"/>
  <c r="I16" i="73" s="1"/>
  <c r="J16" i="73" s="1" a="1"/>
  <c r="J16" i="73" s="1"/>
  <c r="I17" i="73" a="1"/>
  <c r="I17" i="73" s="1"/>
  <c r="J17" i="73" s="1" a="1"/>
  <c r="J17" i="73" s="1"/>
  <c r="I18" i="73" a="1"/>
  <c r="I18" i="73" s="1"/>
  <c r="J18" i="73" s="1" a="1"/>
  <c r="J18" i="73" s="1"/>
  <c r="I19" i="73" a="1"/>
  <c r="I19" i="73" s="1"/>
  <c r="J19" i="73" s="1" a="1"/>
  <c r="J19" i="73" s="1"/>
  <c r="I20" i="73" a="1"/>
  <c r="I20" i="73" s="1"/>
  <c r="J20" i="73" s="1" a="1"/>
  <c r="J20" i="73" s="1"/>
  <c r="I21" i="73" a="1"/>
  <c r="I21" i="73" s="1"/>
  <c r="J21" i="73" s="1" a="1"/>
  <c r="J21" i="73" s="1"/>
  <c r="I22" i="73" a="1"/>
  <c r="I22" i="73" s="1"/>
  <c r="J22" i="73" s="1" a="1"/>
  <c r="J22" i="73" s="1"/>
  <c r="I23" i="73" a="1"/>
  <c r="I23" i="73" s="1"/>
  <c r="J23" i="73" s="1" a="1"/>
  <c r="J23" i="73" s="1"/>
  <c r="I24" i="73" a="1"/>
  <c r="I24" i="73" s="1"/>
  <c r="J24" i="73" s="1" a="1"/>
  <c r="J24" i="73" s="1"/>
  <c r="I25" i="73" a="1"/>
  <c r="I25" i="73" s="1"/>
  <c r="J25" i="73" s="1" a="1"/>
  <c r="J25" i="73" s="1"/>
  <c r="I26" i="73" a="1"/>
  <c r="I26" i="73" s="1"/>
  <c r="J26" i="73" s="1" a="1"/>
  <c r="J26" i="73" s="1"/>
  <c r="I27" i="73" a="1"/>
  <c r="I27" i="73" s="1"/>
  <c r="J27" i="73" s="1" a="1"/>
  <c r="J27" i="73" s="1"/>
  <c r="I28" i="73" a="1"/>
  <c r="I28" i="73" s="1"/>
  <c r="J28" i="73" s="1" a="1"/>
  <c r="J28" i="73" s="1"/>
  <c r="I29" i="73" a="1"/>
  <c r="I29" i="73" s="1"/>
  <c r="J29" i="73" s="1" a="1"/>
  <c r="J29" i="73" s="1"/>
  <c r="I30" i="73" a="1"/>
  <c r="I30" i="73" s="1"/>
  <c r="J30" i="73" s="1" a="1"/>
  <c r="J30" i="73" s="1"/>
  <c r="I31" i="73" a="1"/>
  <c r="I31" i="73" s="1"/>
  <c r="J31" i="73" s="1" a="1"/>
  <c r="J31" i="73" s="1"/>
  <c r="I32" i="73" a="1"/>
  <c r="I32" i="73" s="1"/>
  <c r="J32" i="73" s="1" a="1"/>
  <c r="J32" i="73" s="1"/>
  <c r="I33" i="73" a="1"/>
  <c r="I33" i="73" s="1"/>
  <c r="J33" i="73" s="1" a="1"/>
  <c r="J33" i="73" s="1"/>
  <c r="I34" i="73" a="1"/>
  <c r="I34" i="73" s="1"/>
  <c r="J34" i="73" s="1" a="1"/>
  <c r="J34" i="73" s="1"/>
  <c r="I35" i="73" a="1"/>
  <c r="I35" i="73" s="1"/>
  <c r="J35" i="73" s="1" a="1"/>
  <c r="J35" i="73" s="1"/>
  <c r="I36" i="73" a="1"/>
  <c r="I36" i="73" s="1"/>
  <c r="J36" i="73" s="1" a="1"/>
  <c r="J36" i="73" s="1"/>
  <c r="I37" i="73" a="1"/>
  <c r="I37" i="73" s="1"/>
  <c r="J37" i="73" s="1" a="1"/>
  <c r="J37" i="73" s="1"/>
  <c r="I38" i="73" a="1"/>
  <c r="I38" i="73" s="1"/>
  <c r="J38" i="73" s="1" a="1"/>
  <c r="J38" i="73" s="1"/>
  <c r="I39" i="73" a="1"/>
  <c r="I39" i="73" s="1"/>
  <c r="J39" i="73" s="1" a="1"/>
  <c r="J39" i="73" s="1"/>
  <c r="I40" i="73" a="1"/>
  <c r="I40" i="73" s="1"/>
  <c r="J40" i="73" s="1" a="1"/>
  <c r="J40" i="73" s="1"/>
  <c r="I41" i="73" a="1"/>
  <c r="I41" i="73" s="1"/>
  <c r="J41" i="73" s="1" a="1"/>
  <c r="J41" i="73" s="1"/>
  <c r="I42" i="73" a="1"/>
  <c r="I42" i="73" s="1"/>
  <c r="J42" i="73" s="1" a="1"/>
  <c r="J42" i="73" s="1"/>
  <c r="I43" i="73" a="1"/>
  <c r="I43" i="73" s="1"/>
  <c r="J43" i="73" s="1" a="1"/>
  <c r="J43" i="73" s="1"/>
  <c r="I44" i="73" a="1"/>
  <c r="I44" i="73" s="1"/>
  <c r="J44" i="73" s="1" a="1"/>
  <c r="J44" i="73" s="1"/>
  <c r="AU10" i="98"/>
  <c r="AU11" i="98"/>
  <c r="AU12" i="98"/>
  <c r="AU13" i="98"/>
  <c r="AU14" i="98"/>
  <c r="AU15" i="98"/>
  <c r="AU16" i="98"/>
  <c r="AU17" i="98"/>
  <c r="AU18" i="98"/>
  <c r="AU19" i="98"/>
  <c r="AU20" i="98"/>
  <c r="AU21" i="98"/>
  <c r="AU22" i="98"/>
  <c r="AU23" i="98"/>
  <c r="AU24" i="98"/>
  <c r="AU25" i="98"/>
  <c r="AU26" i="98"/>
  <c r="AU27" i="98"/>
  <c r="AU28" i="98"/>
  <c r="AU29" i="98"/>
  <c r="AU30" i="98"/>
  <c r="AU31" i="98"/>
  <c r="AU32" i="98"/>
  <c r="AU33" i="98"/>
  <c r="AU34" i="98"/>
  <c r="AU35" i="98"/>
  <c r="AU36" i="98"/>
  <c r="AU37" i="98"/>
  <c r="AU38" i="98"/>
  <c r="AU39" i="98"/>
  <c r="AU40" i="98"/>
  <c r="AU41" i="98"/>
  <c r="AU42" i="98"/>
  <c r="AU43" i="98"/>
  <c r="AU44" i="98"/>
  <c r="AU45" i="98"/>
  <c r="AR10" i="98"/>
  <c r="AR11" i="98"/>
  <c r="AR12" i="98"/>
  <c r="AR13" i="98"/>
  <c r="AR14" i="98"/>
  <c r="AR15" i="98"/>
  <c r="AR16" i="98"/>
  <c r="AR17" i="98"/>
  <c r="AR18" i="98"/>
  <c r="AR19" i="98"/>
  <c r="AR20" i="98"/>
  <c r="AR21" i="98"/>
  <c r="AR22" i="98"/>
  <c r="AR23" i="98"/>
  <c r="AR24" i="98"/>
  <c r="AR25" i="98"/>
  <c r="AR26" i="98"/>
  <c r="AR27" i="98"/>
  <c r="AR28" i="98"/>
  <c r="AR29" i="98"/>
  <c r="AR30" i="98"/>
  <c r="AR31" i="98"/>
  <c r="AR32" i="98"/>
  <c r="AR33" i="98"/>
  <c r="AR34" i="98"/>
  <c r="AR35" i="98"/>
  <c r="AR36" i="98"/>
  <c r="AR37" i="98"/>
  <c r="AR38" i="98"/>
  <c r="AR39" i="98"/>
  <c r="AR40" i="98"/>
  <c r="AR41" i="98"/>
  <c r="AR42" i="98"/>
  <c r="AR43" i="98"/>
  <c r="AR44" i="98"/>
  <c r="AR45" i="98"/>
  <c r="AO10" i="98"/>
  <c r="AO11" i="98"/>
  <c r="AO12" i="98"/>
  <c r="AO13" i="98"/>
  <c r="AO14" i="98"/>
  <c r="AO15" i="98"/>
  <c r="AO16" i="98"/>
  <c r="AO17" i="98"/>
  <c r="AO18" i="98"/>
  <c r="AO19" i="98"/>
  <c r="AO20" i="98"/>
  <c r="AO21" i="98"/>
  <c r="AO22" i="98"/>
  <c r="AO23" i="98"/>
  <c r="AO24" i="98"/>
  <c r="AO25" i="98"/>
  <c r="AO26" i="98"/>
  <c r="AO27" i="98"/>
  <c r="AO28" i="98"/>
  <c r="AO29" i="98"/>
  <c r="AO30" i="98"/>
  <c r="AO31" i="98"/>
  <c r="AO32" i="98"/>
  <c r="AO33" i="98"/>
  <c r="AO34" i="98"/>
  <c r="AO35" i="98"/>
  <c r="AO36" i="98"/>
  <c r="AO37" i="98"/>
  <c r="AO38" i="98"/>
  <c r="AO39" i="98"/>
  <c r="AO40" i="98"/>
  <c r="AO41" i="98"/>
  <c r="AO42" i="98"/>
  <c r="AO43" i="98"/>
  <c r="AO44" i="98"/>
  <c r="AO45" i="98"/>
  <c r="AL10" i="98"/>
  <c r="AL11" i="98"/>
  <c r="AL12" i="98"/>
  <c r="AL13" i="98"/>
  <c r="AL14" i="98"/>
  <c r="AL15" i="98"/>
  <c r="AL16" i="98"/>
  <c r="AL17" i="98"/>
  <c r="AL18" i="98"/>
  <c r="AL19" i="98"/>
  <c r="AL20" i="98"/>
  <c r="AL21" i="98"/>
  <c r="AL22" i="98"/>
  <c r="AL23" i="98"/>
  <c r="AL24" i="98"/>
  <c r="AL25" i="98"/>
  <c r="AL26" i="98"/>
  <c r="AL27" i="98"/>
  <c r="AL28" i="98"/>
  <c r="AL29" i="98"/>
  <c r="AL30" i="98"/>
  <c r="AL31" i="98"/>
  <c r="AL32" i="98"/>
  <c r="AL33" i="98"/>
  <c r="AL34" i="98"/>
  <c r="AL35" i="98"/>
  <c r="AL36" i="98"/>
  <c r="AL37" i="98"/>
  <c r="AL38" i="98"/>
  <c r="AL39" i="98"/>
  <c r="AL40" i="98"/>
  <c r="AL41" i="98"/>
  <c r="AL42" i="98"/>
  <c r="AL43" i="98"/>
  <c r="AL44" i="98"/>
  <c r="AL45" i="98"/>
  <c r="AI10" i="98"/>
  <c r="AI11" i="98"/>
  <c r="AI12" i="98"/>
  <c r="AI13" i="98"/>
  <c r="AI14" i="98"/>
  <c r="AI15" i="98"/>
  <c r="AI16" i="98"/>
  <c r="AI17" i="98"/>
  <c r="AI18" i="98"/>
  <c r="AI19" i="98"/>
  <c r="AI20" i="98"/>
  <c r="AI21" i="98"/>
  <c r="AI22" i="98"/>
  <c r="AI23" i="98"/>
  <c r="AI24" i="98"/>
  <c r="AI25" i="98"/>
  <c r="AI26" i="98"/>
  <c r="AI27" i="98"/>
  <c r="AI28" i="98"/>
  <c r="AI29" i="98"/>
  <c r="AI30" i="98"/>
  <c r="AI31" i="98"/>
  <c r="AI32" i="98"/>
  <c r="AI33" i="98"/>
  <c r="AI34" i="98"/>
  <c r="AI35" i="98"/>
  <c r="AI36" i="98"/>
  <c r="AI37" i="98"/>
  <c r="AI38" i="98"/>
  <c r="AI39" i="98"/>
  <c r="AI40" i="98"/>
  <c r="AI41" i="98"/>
  <c r="AI42" i="98"/>
  <c r="AI43" i="98"/>
  <c r="AI44" i="98"/>
  <c r="AI45" i="98"/>
  <c r="AC10" i="98"/>
  <c r="AC11" i="98"/>
  <c r="AC12" i="98"/>
  <c r="AC13" i="98"/>
  <c r="AC14" i="98"/>
  <c r="AC15" i="98"/>
  <c r="AC16" i="98"/>
  <c r="AC17" i="98"/>
  <c r="AC18" i="98"/>
  <c r="AC19" i="98"/>
  <c r="AC20" i="98"/>
  <c r="AC21" i="98"/>
  <c r="AC22" i="98"/>
  <c r="AC23" i="98"/>
  <c r="AC24" i="98"/>
  <c r="AC25" i="98"/>
  <c r="AC26" i="98"/>
  <c r="AC27" i="98"/>
  <c r="AC28" i="98"/>
  <c r="AC29" i="98"/>
  <c r="AC30" i="98"/>
  <c r="AC31" i="98"/>
  <c r="AC32" i="98"/>
  <c r="AC33" i="98"/>
  <c r="AC34" i="98"/>
  <c r="AC35" i="98"/>
  <c r="AC36" i="98"/>
  <c r="AC37" i="98"/>
  <c r="AC38" i="98"/>
  <c r="AC39" i="98"/>
  <c r="AC40" i="98"/>
  <c r="AC41" i="98"/>
  <c r="AC42" i="98"/>
  <c r="AC43" i="98"/>
  <c r="AC44" i="98"/>
  <c r="AC45" i="98"/>
  <c r="AD10" i="98"/>
  <c r="AD11" i="98"/>
  <c r="AD12" i="98"/>
  <c r="AD13" i="98"/>
  <c r="AD14" i="98"/>
  <c r="AD15" i="98"/>
  <c r="AD16" i="98"/>
  <c r="AD17" i="98"/>
  <c r="AD18" i="98"/>
  <c r="AD19" i="98"/>
  <c r="AD20" i="98"/>
  <c r="AD21" i="98"/>
  <c r="AD22" i="98"/>
  <c r="AD23" i="98"/>
  <c r="AD24" i="98"/>
  <c r="AD25" i="98"/>
  <c r="AD26" i="98"/>
  <c r="AD27" i="98"/>
  <c r="AD28" i="98"/>
  <c r="AD29" i="98"/>
  <c r="AD30" i="98"/>
  <c r="AD31" i="98"/>
  <c r="AD32" i="98"/>
  <c r="AD33" i="98"/>
  <c r="AD34" i="98"/>
  <c r="AD35" i="98"/>
  <c r="AD36" i="98"/>
  <c r="AD37" i="98"/>
  <c r="AD38" i="98"/>
  <c r="AD39" i="98"/>
  <c r="AD40" i="98"/>
  <c r="AD41" i="98"/>
  <c r="AD42" i="98"/>
  <c r="AD43" i="98"/>
  <c r="AD44" i="98"/>
  <c r="AD45" i="98"/>
  <c r="Z10" i="98"/>
  <c r="Z11" i="98"/>
  <c r="Z12" i="98"/>
  <c r="Z13" i="98"/>
  <c r="Z14" i="98"/>
  <c r="Z15" i="98"/>
  <c r="Z16" i="98"/>
  <c r="Z17" i="98"/>
  <c r="Z18" i="98"/>
  <c r="Z19" i="98"/>
  <c r="Z20" i="98"/>
  <c r="Z21" i="98"/>
  <c r="Z22" i="98"/>
  <c r="Z23" i="98"/>
  <c r="Z24" i="98"/>
  <c r="Z25" i="98"/>
  <c r="Z26" i="98"/>
  <c r="Z27" i="98"/>
  <c r="Z28" i="98"/>
  <c r="Z29" i="98"/>
  <c r="Z30" i="98"/>
  <c r="Z31" i="98"/>
  <c r="Z32" i="98"/>
  <c r="Z33" i="98"/>
  <c r="Z34" i="98"/>
  <c r="Z35" i="98"/>
  <c r="Z36" i="98"/>
  <c r="Z37" i="98"/>
  <c r="Z38" i="98"/>
  <c r="Z39" i="98"/>
  <c r="Z40" i="98"/>
  <c r="Z41" i="98"/>
  <c r="Z42" i="98"/>
  <c r="Z43" i="98"/>
  <c r="Z44" i="98"/>
  <c r="Z45" i="98"/>
  <c r="W10" i="98"/>
  <c r="W11" i="98"/>
  <c r="W12" i="98"/>
  <c r="W13" i="98"/>
  <c r="W14" i="98"/>
  <c r="W15" i="98"/>
  <c r="W16" i="98"/>
  <c r="W17" i="98"/>
  <c r="W18" i="98"/>
  <c r="W19" i="98"/>
  <c r="W20" i="98"/>
  <c r="W21" i="98"/>
  <c r="W22" i="98"/>
  <c r="W23" i="98"/>
  <c r="W24" i="98"/>
  <c r="W25" i="98"/>
  <c r="W26" i="98"/>
  <c r="W27" i="98"/>
  <c r="W28" i="98"/>
  <c r="W29" i="98"/>
  <c r="W30" i="98"/>
  <c r="W31" i="98"/>
  <c r="W32" i="98"/>
  <c r="W33" i="98"/>
  <c r="W34" i="98"/>
  <c r="W35" i="98"/>
  <c r="W36" i="98"/>
  <c r="W37" i="98"/>
  <c r="W38" i="98"/>
  <c r="W39" i="98"/>
  <c r="W40" i="98"/>
  <c r="W41" i="98"/>
  <c r="W42" i="98"/>
  <c r="W43" i="98"/>
  <c r="W44" i="98"/>
  <c r="W45" i="98"/>
  <c r="S18" i="73" l="1"/>
  <c r="S9" i="73"/>
  <c r="S19" i="73"/>
  <c r="S14" i="73"/>
  <c r="S23" i="73"/>
  <c r="S41" i="73"/>
  <c r="S11" i="73"/>
  <c r="S12" i="73"/>
  <c r="S31" i="73"/>
  <c r="S43" i="73"/>
  <c r="S33" i="73"/>
  <c r="S22" i="73"/>
  <c r="R22" i="73"/>
  <c r="Q22" i="73"/>
  <c r="P22" i="73"/>
  <c r="O22" i="73"/>
  <c r="N22" i="73"/>
  <c r="M22" i="73"/>
  <c r="L22" i="73"/>
  <c r="K22" i="73"/>
  <c r="S40" i="73"/>
  <c r="S39" i="73"/>
  <c r="R39" i="73"/>
  <c r="Q39" i="73"/>
  <c r="P39" i="73"/>
  <c r="O39" i="73"/>
  <c r="N39" i="73"/>
  <c r="M39" i="73"/>
  <c r="L39" i="73"/>
  <c r="K39" i="73"/>
  <c r="S30" i="73"/>
  <c r="R30" i="73"/>
  <c r="Q30" i="73"/>
  <c r="P30" i="73"/>
  <c r="O30" i="73"/>
  <c r="N30" i="73"/>
  <c r="M30" i="73"/>
  <c r="L30" i="73"/>
  <c r="K30" i="73"/>
  <c r="S37" i="73"/>
  <c r="R37" i="73"/>
  <c r="Q37" i="73"/>
  <c r="P37" i="73"/>
  <c r="O37" i="73"/>
  <c r="N37" i="73"/>
  <c r="M37" i="73"/>
  <c r="L37" i="73"/>
  <c r="K37" i="73"/>
  <c r="S28" i="73"/>
  <c r="R28" i="73"/>
  <c r="Q28" i="73"/>
  <c r="P28" i="73"/>
  <c r="O28" i="73"/>
  <c r="N28" i="73"/>
  <c r="M28" i="73"/>
  <c r="L28" i="73"/>
  <c r="K28" i="73"/>
  <c r="S27" i="73"/>
  <c r="R27" i="73"/>
  <c r="Q27" i="73"/>
  <c r="P27" i="73"/>
  <c r="O27" i="73"/>
  <c r="N27" i="73"/>
  <c r="M27" i="73"/>
  <c r="L27" i="73"/>
  <c r="K27" i="73"/>
  <c r="S35" i="73"/>
  <c r="S26" i="73"/>
  <c r="S17" i="73"/>
  <c r="R17" i="73"/>
  <c r="Q17" i="73"/>
  <c r="P17" i="73"/>
  <c r="O17" i="73"/>
  <c r="N17" i="73"/>
  <c r="M17" i="73"/>
  <c r="L17" i="73"/>
  <c r="K17" i="73"/>
  <c r="S36" i="73"/>
  <c r="R36" i="73"/>
  <c r="Q36" i="73"/>
  <c r="P36" i="73"/>
  <c r="O36" i="73"/>
  <c r="N36" i="73"/>
  <c r="M36" i="73"/>
  <c r="L36" i="73"/>
  <c r="K36" i="73"/>
  <c r="S44" i="73"/>
  <c r="R44" i="73"/>
  <c r="Q44" i="73"/>
  <c r="P44" i="73"/>
  <c r="O44" i="73"/>
  <c r="N44" i="73"/>
  <c r="M44" i="73"/>
  <c r="L44" i="73"/>
  <c r="K44" i="73"/>
  <c r="S34" i="73"/>
  <c r="S25" i="73"/>
  <c r="R25" i="73"/>
  <c r="Q25" i="73"/>
  <c r="P25" i="73"/>
  <c r="O25" i="73"/>
  <c r="N25" i="73"/>
  <c r="M25" i="73"/>
  <c r="L25" i="73"/>
  <c r="K25" i="73"/>
  <c r="S16" i="73"/>
  <c r="R16" i="73"/>
  <c r="Q16" i="73"/>
  <c r="P16" i="73"/>
  <c r="O16" i="73"/>
  <c r="N16" i="73"/>
  <c r="M16" i="73"/>
  <c r="L16" i="73"/>
  <c r="K16" i="73"/>
  <c r="S24" i="73"/>
  <c r="R24" i="73"/>
  <c r="Q24" i="73"/>
  <c r="P24" i="73"/>
  <c r="O24" i="73"/>
  <c r="N24" i="73"/>
  <c r="M24" i="73"/>
  <c r="L24" i="73"/>
  <c r="K24" i="73"/>
  <c r="S15" i="73"/>
  <c r="R15" i="73"/>
  <c r="Q15" i="73"/>
  <c r="P15" i="73"/>
  <c r="O15" i="73"/>
  <c r="N15" i="73"/>
  <c r="M15" i="73"/>
  <c r="L15" i="73"/>
  <c r="K15" i="73"/>
  <c r="S32" i="73"/>
  <c r="S13" i="73"/>
  <c r="R13" i="73"/>
  <c r="Q13" i="73"/>
  <c r="P13" i="73"/>
  <c r="O13" i="73"/>
  <c r="N13" i="73"/>
  <c r="M13" i="73"/>
  <c r="L13" i="73"/>
  <c r="K13" i="73"/>
  <c r="S42" i="73"/>
  <c r="R42" i="73"/>
  <c r="Q42" i="73"/>
  <c r="P42" i="73"/>
  <c r="O42" i="73"/>
  <c r="N42" i="73"/>
  <c r="M42" i="73"/>
  <c r="L42" i="73"/>
  <c r="K42" i="73"/>
  <c r="S21" i="73"/>
  <c r="S20" i="73"/>
  <c r="R20" i="73"/>
  <c r="Q20" i="73"/>
  <c r="P20" i="73"/>
  <c r="O20" i="73"/>
  <c r="N20" i="73"/>
  <c r="M20" i="73"/>
  <c r="L20" i="73"/>
  <c r="K20" i="73"/>
  <c r="S10" i="73"/>
  <c r="R10" i="73"/>
  <c r="Q10" i="73"/>
  <c r="P10" i="73"/>
  <c r="O10" i="73"/>
  <c r="N10" i="73"/>
  <c r="M10" i="73"/>
  <c r="L10" i="73"/>
  <c r="K10" i="73"/>
  <c r="S38" i="73"/>
  <c r="S29" i="73"/>
  <c r="R29" i="73"/>
  <c r="Q29" i="73"/>
  <c r="P29" i="73"/>
  <c r="O29" i="73"/>
  <c r="N29" i="73"/>
  <c r="M29" i="73"/>
  <c r="L29" i="73"/>
  <c r="K29" i="73"/>
  <c r="K32" i="73"/>
  <c r="L32" i="73"/>
  <c r="M32" i="73"/>
  <c r="N32" i="73"/>
  <c r="O32" i="73"/>
  <c r="P32" i="73"/>
  <c r="Q32" i="73"/>
  <c r="R32" i="73"/>
  <c r="K43" i="73"/>
  <c r="K31" i="73"/>
  <c r="K19" i="73"/>
  <c r="L43" i="73"/>
  <c r="L31" i="73"/>
  <c r="L19" i="73"/>
  <c r="M43" i="73"/>
  <c r="M31" i="73"/>
  <c r="M19" i="73"/>
  <c r="N43" i="73"/>
  <c r="N31" i="73"/>
  <c r="N19" i="73"/>
  <c r="O43" i="73"/>
  <c r="O31" i="73"/>
  <c r="O19" i="73"/>
  <c r="P43" i="73"/>
  <c r="P31" i="73"/>
  <c r="P19" i="73"/>
  <c r="Q43" i="73"/>
  <c r="Q31" i="73"/>
  <c r="Q19" i="73"/>
  <c r="R43" i="73"/>
  <c r="R31" i="73"/>
  <c r="R19" i="73"/>
  <c r="K18" i="73"/>
  <c r="L18" i="73"/>
  <c r="M18" i="73"/>
  <c r="N18" i="73"/>
  <c r="O18" i="73"/>
  <c r="P18" i="73"/>
  <c r="Q18" i="73"/>
  <c r="R18" i="73"/>
  <c r="K41" i="73"/>
  <c r="L41" i="73"/>
  <c r="M41" i="73"/>
  <c r="N41" i="73"/>
  <c r="O41" i="73"/>
  <c r="P41" i="73"/>
  <c r="Q41" i="73"/>
  <c r="R41" i="73"/>
  <c r="K40" i="73"/>
  <c r="L40" i="73"/>
  <c r="M40" i="73"/>
  <c r="N40" i="73"/>
  <c r="O40" i="73"/>
  <c r="P40" i="73"/>
  <c r="Q40" i="73"/>
  <c r="R40" i="73"/>
  <c r="K38" i="73"/>
  <c r="K26" i="73"/>
  <c r="K14" i="73"/>
  <c r="L38" i="73"/>
  <c r="L26" i="73"/>
  <c r="L14" i="73"/>
  <c r="M38" i="73"/>
  <c r="M26" i="73"/>
  <c r="M14" i="73"/>
  <c r="N38" i="73"/>
  <c r="N26" i="73"/>
  <c r="N14" i="73"/>
  <c r="O38" i="73"/>
  <c r="O26" i="73"/>
  <c r="O14" i="73"/>
  <c r="P38" i="73"/>
  <c r="P26" i="73"/>
  <c r="P14" i="73"/>
  <c r="Q38" i="73"/>
  <c r="Q26" i="73"/>
  <c r="Q14" i="73"/>
  <c r="R38" i="73"/>
  <c r="R26" i="73"/>
  <c r="R14" i="73"/>
  <c r="K12" i="73"/>
  <c r="L12" i="73"/>
  <c r="M12" i="73"/>
  <c r="N12" i="73"/>
  <c r="O12" i="73"/>
  <c r="P12" i="73"/>
  <c r="Q12" i="73"/>
  <c r="R12" i="73"/>
  <c r="K35" i="73"/>
  <c r="K23" i="73"/>
  <c r="K11" i="73"/>
  <c r="L35" i="73"/>
  <c r="L23" i="73"/>
  <c r="L11" i="73"/>
  <c r="M35" i="73"/>
  <c r="M23" i="73"/>
  <c r="M11" i="73"/>
  <c r="N35" i="73"/>
  <c r="N23" i="73"/>
  <c r="N11" i="73"/>
  <c r="O35" i="73"/>
  <c r="O23" i="73"/>
  <c r="O11" i="73"/>
  <c r="P35" i="73"/>
  <c r="P23" i="73"/>
  <c r="P11" i="73"/>
  <c r="Q35" i="73"/>
  <c r="Q23" i="73"/>
  <c r="Q11" i="73"/>
  <c r="R35" i="73"/>
  <c r="R23" i="73"/>
  <c r="R11" i="73"/>
  <c r="K34" i="73"/>
  <c r="L34" i="73"/>
  <c r="M34" i="73"/>
  <c r="N34" i="73"/>
  <c r="O34" i="73"/>
  <c r="P34" i="73"/>
  <c r="Q34" i="73"/>
  <c r="R34" i="73"/>
  <c r="K33" i="73"/>
  <c r="K21" i="73"/>
  <c r="K9" i="73"/>
  <c r="L33" i="73"/>
  <c r="L21" i="73"/>
  <c r="L9" i="73"/>
  <c r="M33" i="73"/>
  <c r="M21" i="73"/>
  <c r="M9" i="73"/>
  <c r="N33" i="73"/>
  <c r="N21" i="73"/>
  <c r="N9" i="73"/>
  <c r="O33" i="73"/>
  <c r="O21" i="73"/>
  <c r="O9" i="73"/>
  <c r="P33" i="73"/>
  <c r="P21" i="73"/>
  <c r="P9" i="73"/>
  <c r="Q33" i="73"/>
  <c r="Q21" i="73"/>
  <c r="Q9" i="73"/>
  <c r="R33" i="73"/>
  <c r="R21" i="73"/>
  <c r="R9" i="73"/>
  <c r="C13" i="73"/>
  <c r="H22" i="98" s="1"/>
  <c r="C12" i="73"/>
  <c r="C11" i="73"/>
  <c r="C10" i="73"/>
  <c r="C9" i="73"/>
  <c r="H25" i="98" l="1"/>
  <c r="J25" i="98" s="1"/>
  <c r="H26" i="98"/>
  <c r="J26" i="98" s="1"/>
  <c r="H32" i="98"/>
  <c r="J32" i="98" s="1"/>
  <c r="H42" i="98"/>
  <c r="J42" i="98" s="1"/>
  <c r="H10" i="98"/>
  <c r="J10" i="98" s="1"/>
  <c r="H11" i="98"/>
  <c r="J11" i="98" s="1"/>
  <c r="H12" i="98"/>
  <c r="J12" i="98" s="1"/>
  <c r="H13" i="98"/>
  <c r="J13" i="98" s="1"/>
  <c r="H45" i="98"/>
  <c r="J45" i="98" s="1"/>
  <c r="H21" i="98"/>
  <c r="J21" i="98" s="1"/>
  <c r="H41" i="98"/>
  <c r="J41" i="98" s="1"/>
  <c r="H18" i="98"/>
  <c r="J18" i="98" s="1"/>
  <c r="H43" i="98"/>
  <c r="J43" i="98" s="1"/>
  <c r="H20" i="98"/>
  <c r="J20" i="98" s="1"/>
  <c r="H44" i="98"/>
  <c r="J44" i="98" s="1"/>
  <c r="H23" i="98"/>
  <c r="J23" i="98" s="1"/>
  <c r="H34" i="98"/>
  <c r="J34" i="98" s="1"/>
  <c r="H35" i="98"/>
  <c r="J35" i="98" s="1"/>
  <c r="H36" i="98"/>
  <c r="J36" i="98" s="1"/>
  <c r="H37" i="98"/>
  <c r="J37" i="98" s="1"/>
  <c r="H40" i="98"/>
  <c r="J40" i="98" s="1"/>
  <c r="H28" i="98"/>
  <c r="J28" i="98" s="1"/>
  <c r="H29" i="98"/>
  <c r="J29" i="98" s="1"/>
  <c r="H30" i="98"/>
  <c r="J30" i="98" s="1"/>
  <c r="H24" i="98"/>
  <c r="J24" i="98" s="1"/>
  <c r="H31" i="98"/>
  <c r="J31" i="98" s="1"/>
  <c r="H27" i="98"/>
  <c r="J27" i="98" s="1"/>
  <c r="H33" i="98"/>
  <c r="J33" i="98" s="1"/>
  <c r="H39" i="98"/>
  <c r="J39" i="98" s="1"/>
  <c r="H14" i="98"/>
  <c r="J14" i="98" s="1"/>
  <c r="H38" i="98"/>
  <c r="J38" i="98" s="1"/>
  <c r="H15" i="98"/>
  <c r="J15" i="98" s="1"/>
  <c r="H16" i="98"/>
  <c r="J16" i="98" s="1"/>
  <c r="H17" i="98"/>
  <c r="J17" i="98" s="1"/>
  <c r="H19" i="98"/>
  <c r="J19" i="98" s="1"/>
  <c r="J22" i="98"/>
  <c r="C13" i="98"/>
  <c r="C14" i="98"/>
  <c r="C15" i="98"/>
  <c r="C16" i="98"/>
  <c r="C17" i="98"/>
  <c r="C18" i="98"/>
  <c r="C19" i="98"/>
  <c r="C20" i="98"/>
  <c r="C21" i="98"/>
  <c r="C22" i="98"/>
  <c r="C23" i="98"/>
  <c r="C24" i="98"/>
  <c r="C25" i="98"/>
  <c r="C26" i="98"/>
  <c r="C27" i="98"/>
  <c r="C28" i="98"/>
  <c r="C29" i="98"/>
  <c r="C30" i="98"/>
  <c r="C31" i="98"/>
  <c r="C32" i="98"/>
  <c r="C33" i="98"/>
  <c r="C34" i="98"/>
  <c r="C35" i="98"/>
  <c r="C36" i="98"/>
  <c r="C37" i="98"/>
  <c r="C38" i="98"/>
  <c r="C39" i="98"/>
  <c r="C40" i="98"/>
  <c r="C41" i="98"/>
  <c r="C42" i="98"/>
  <c r="C43" i="98"/>
  <c r="C44" i="98"/>
  <c r="C45" i="98"/>
  <c r="D13" i="98"/>
  <c r="D14" i="98"/>
  <c r="D15" i="98"/>
  <c r="D16" i="98"/>
  <c r="D17" i="98"/>
  <c r="D18" i="98"/>
  <c r="D19" i="98"/>
  <c r="D20" i="98"/>
  <c r="D21" i="98"/>
  <c r="D22" i="98"/>
  <c r="D23" i="98"/>
  <c r="D24" i="98"/>
  <c r="D25" i="98"/>
  <c r="D26" i="98"/>
  <c r="D27" i="98"/>
  <c r="D28" i="98"/>
  <c r="D29" i="98"/>
  <c r="D30" i="98"/>
  <c r="D31" i="98"/>
  <c r="D32" i="98"/>
  <c r="D33" i="98"/>
  <c r="D34" i="98"/>
  <c r="D35" i="98"/>
  <c r="D36" i="98"/>
  <c r="D37" i="98"/>
  <c r="D38" i="98"/>
  <c r="D39" i="98"/>
  <c r="D40" i="98"/>
  <c r="D41" i="98"/>
  <c r="D42" i="98"/>
  <c r="D43" i="98"/>
  <c r="D44" i="98"/>
  <c r="D45" i="98"/>
  <c r="D10" i="98"/>
  <c r="D11" i="98"/>
  <c r="D12" i="98"/>
  <c r="C10" i="98"/>
  <c r="C11" i="98"/>
  <c r="C12" i="98"/>
  <c r="AB72" i="105" a="1"/>
  <c r="AB72" i="105" s="1"/>
  <c r="AA72" i="105" a="1"/>
  <c r="AA72" i="105" s="1"/>
  <c r="Z72" i="105" a="1"/>
  <c r="Z72" i="105" s="1"/>
  <c r="Y72" i="105" a="1"/>
  <c r="Y72" i="105" s="1"/>
  <c r="X72" i="105" a="1"/>
  <c r="X72" i="105" s="1"/>
  <c r="W72" i="105" a="1"/>
  <c r="W72" i="105" s="1"/>
  <c r="V72" i="105" a="1"/>
  <c r="V72" i="105" s="1"/>
  <c r="U72" i="105" a="1"/>
  <c r="U72" i="105" s="1"/>
  <c r="T72" i="105" a="1"/>
  <c r="T72" i="105" s="1"/>
  <c r="S72" i="105" a="1"/>
  <c r="S72" i="105" s="1"/>
  <c r="R72" i="105" a="1"/>
  <c r="R72" i="105" s="1"/>
  <c r="Q72" i="105" a="1"/>
  <c r="Q72" i="105" s="1"/>
  <c r="P72" i="105" a="1"/>
  <c r="P72" i="105" s="1"/>
  <c r="AB71" i="105" a="1"/>
  <c r="AB71" i="105" s="1"/>
  <c r="AA71" i="105" a="1"/>
  <c r="AA71" i="105" s="1"/>
  <c r="Z71" i="105" a="1"/>
  <c r="Z71" i="105" s="1"/>
  <c r="Y71" i="105" a="1"/>
  <c r="Y71" i="105" s="1"/>
  <c r="X71" i="105" a="1"/>
  <c r="X71" i="105" s="1"/>
  <c r="W71" i="105" a="1"/>
  <c r="W71" i="105" s="1"/>
  <c r="V71" i="105" a="1"/>
  <c r="V71" i="105" s="1"/>
  <c r="U71" i="105" a="1"/>
  <c r="U71" i="105" s="1"/>
  <c r="T71" i="105" a="1"/>
  <c r="T71" i="105" s="1"/>
  <c r="S71" i="105" a="1"/>
  <c r="S71" i="105" s="1"/>
  <c r="R71" i="105" a="1"/>
  <c r="R71" i="105" s="1"/>
  <c r="Q71" i="105" a="1"/>
  <c r="Q71" i="105" s="1"/>
  <c r="P71" i="105" a="1"/>
  <c r="P71" i="105" s="1"/>
  <c r="AB70" i="105" a="1"/>
  <c r="AB70" i="105" s="1"/>
  <c r="AA70" i="105" a="1"/>
  <c r="AA70" i="105" s="1"/>
  <c r="Z70" i="105" a="1"/>
  <c r="Z70" i="105" s="1"/>
  <c r="Y70" i="105" a="1"/>
  <c r="Y70" i="105" s="1"/>
  <c r="X70" i="105" a="1"/>
  <c r="X70" i="105" s="1"/>
  <c r="W70" i="105" a="1"/>
  <c r="W70" i="105" s="1"/>
  <c r="V70" i="105" a="1"/>
  <c r="V70" i="105" s="1"/>
  <c r="U70" i="105" a="1"/>
  <c r="U70" i="105" s="1"/>
  <c r="T70" i="105" a="1"/>
  <c r="T70" i="105" s="1"/>
  <c r="S70" i="105" a="1"/>
  <c r="S70" i="105" s="1"/>
  <c r="R70" i="105" a="1"/>
  <c r="R70" i="105" s="1"/>
  <c r="Q70" i="105" a="1"/>
  <c r="Q70" i="105" s="1"/>
  <c r="P70" i="105" a="1"/>
  <c r="P70" i="105" s="1"/>
  <c r="AB69" i="105" a="1"/>
  <c r="AB69" i="105" s="1"/>
  <c r="AA69" i="105" a="1"/>
  <c r="AA69" i="105" s="1"/>
  <c r="Z69" i="105" a="1"/>
  <c r="Z69" i="105" s="1"/>
  <c r="Y69" i="105" a="1"/>
  <c r="Y69" i="105" s="1"/>
  <c r="X69" i="105" a="1"/>
  <c r="X69" i="105" s="1"/>
  <c r="W69" i="105" a="1"/>
  <c r="W69" i="105" s="1"/>
  <c r="V69" i="105" a="1"/>
  <c r="V69" i="105" s="1"/>
  <c r="U69" i="105" a="1"/>
  <c r="U69" i="105" s="1"/>
  <c r="T69" i="105" a="1"/>
  <c r="T69" i="105" s="1"/>
  <c r="S69" i="105" a="1"/>
  <c r="S69" i="105" s="1"/>
  <c r="R69" i="105" a="1"/>
  <c r="R69" i="105" s="1"/>
  <c r="Q69" i="105" a="1"/>
  <c r="Q69" i="105" s="1"/>
  <c r="P69" i="105" a="1"/>
  <c r="P69" i="105" s="1"/>
  <c r="AB68" i="105" a="1"/>
  <c r="AB68" i="105" s="1"/>
  <c r="AA68" i="105" a="1"/>
  <c r="AA68" i="105" s="1"/>
  <c r="Z68" i="105" a="1"/>
  <c r="Z68" i="105" s="1"/>
  <c r="Y68" i="105" a="1"/>
  <c r="Y68" i="105" s="1"/>
  <c r="X68" i="105" a="1"/>
  <c r="X68" i="105" s="1"/>
  <c r="W68" i="105" a="1"/>
  <c r="W68" i="105" s="1"/>
  <c r="V68" i="105" a="1"/>
  <c r="V68" i="105" s="1"/>
  <c r="U68" i="105" a="1"/>
  <c r="U68" i="105" s="1"/>
  <c r="T68" i="105" a="1"/>
  <c r="T68" i="105" s="1"/>
  <c r="S68" i="105" a="1"/>
  <c r="S68" i="105" s="1"/>
  <c r="R68" i="105" a="1"/>
  <c r="R68" i="105" s="1"/>
  <c r="Q68" i="105" a="1"/>
  <c r="Q68" i="105" s="1"/>
  <c r="P68" i="105" a="1"/>
  <c r="P68" i="105" s="1"/>
  <c r="AB67" i="105" a="1"/>
  <c r="AB67" i="105" s="1"/>
  <c r="AA67" i="105" a="1"/>
  <c r="AA67" i="105" s="1"/>
  <c r="Z67" i="105" a="1"/>
  <c r="Z67" i="105" s="1"/>
  <c r="Y67" i="105" a="1"/>
  <c r="Y67" i="105" s="1"/>
  <c r="X67" i="105" a="1"/>
  <c r="X67" i="105" s="1"/>
  <c r="W67" i="105" a="1"/>
  <c r="W67" i="105" s="1"/>
  <c r="V67" i="105" a="1"/>
  <c r="V67" i="105" s="1"/>
  <c r="U67" i="105" a="1"/>
  <c r="U67" i="105" s="1"/>
  <c r="T67" i="105" a="1"/>
  <c r="T67" i="105" s="1"/>
  <c r="S67" i="105" a="1"/>
  <c r="S67" i="105" s="1"/>
  <c r="R67" i="105" a="1"/>
  <c r="R67" i="105" s="1"/>
  <c r="Q67" i="105" a="1"/>
  <c r="Q67" i="105" s="1"/>
  <c r="P67" i="105" a="1"/>
  <c r="P67" i="105" s="1"/>
  <c r="AB66" i="105" a="1"/>
  <c r="AB66" i="105" s="1"/>
  <c r="AA66" i="105" a="1"/>
  <c r="AA66" i="105" s="1"/>
  <c r="Z66" i="105" a="1"/>
  <c r="Z66" i="105" s="1"/>
  <c r="Y66" i="105" a="1"/>
  <c r="Y66" i="105" s="1"/>
  <c r="X66" i="105" a="1"/>
  <c r="X66" i="105" s="1"/>
  <c r="W66" i="105" a="1"/>
  <c r="W66" i="105" s="1"/>
  <c r="V66" i="105" a="1"/>
  <c r="V66" i="105" s="1"/>
  <c r="U66" i="105" a="1"/>
  <c r="U66" i="105" s="1"/>
  <c r="T66" i="105" a="1"/>
  <c r="T66" i="105" s="1"/>
  <c r="S66" i="105" a="1"/>
  <c r="S66" i="105" s="1"/>
  <c r="R66" i="105" a="1"/>
  <c r="R66" i="105" s="1"/>
  <c r="Q66" i="105" a="1"/>
  <c r="Q66" i="105" s="1"/>
  <c r="P66" i="105" a="1"/>
  <c r="P66" i="105" s="1"/>
  <c r="AB65" i="105" a="1"/>
  <c r="AB65" i="105" s="1"/>
  <c r="AA65" i="105" a="1"/>
  <c r="AA65" i="105" s="1"/>
  <c r="Z65" i="105" a="1"/>
  <c r="Z65" i="105" s="1"/>
  <c r="Y65" i="105" a="1"/>
  <c r="Y65" i="105" s="1"/>
  <c r="X65" i="105" a="1"/>
  <c r="X65" i="105" s="1"/>
  <c r="W65" i="105" a="1"/>
  <c r="W65" i="105" s="1"/>
  <c r="V65" i="105" a="1"/>
  <c r="V65" i="105" s="1"/>
  <c r="U65" i="105" a="1"/>
  <c r="U65" i="105" s="1"/>
  <c r="T65" i="105" a="1"/>
  <c r="T65" i="105" s="1"/>
  <c r="S65" i="105" a="1"/>
  <c r="S65" i="105" s="1"/>
  <c r="R65" i="105" a="1"/>
  <c r="R65" i="105" s="1"/>
  <c r="Q65" i="105" a="1"/>
  <c r="Q65" i="105" s="1"/>
  <c r="P65" i="105" a="1"/>
  <c r="P65" i="105" s="1"/>
  <c r="AB64" i="105" a="1"/>
  <c r="AB64" i="105" s="1"/>
  <c r="AA64" i="105" a="1"/>
  <c r="AA64" i="105" s="1"/>
  <c r="Z64" i="105" a="1"/>
  <c r="Z64" i="105" s="1"/>
  <c r="Y64" i="105" a="1"/>
  <c r="Y64" i="105" s="1"/>
  <c r="X64" i="105" a="1"/>
  <c r="X64" i="105" s="1"/>
  <c r="W64" i="105" a="1"/>
  <c r="W64" i="105" s="1"/>
  <c r="V64" i="105" a="1"/>
  <c r="V64" i="105" s="1"/>
  <c r="U64" i="105" a="1"/>
  <c r="U64" i="105" s="1"/>
  <c r="T64" i="105" a="1"/>
  <c r="T64" i="105" s="1"/>
  <c r="S64" i="105" a="1"/>
  <c r="S64" i="105" s="1"/>
  <c r="R64" i="105" a="1"/>
  <c r="R64" i="105" s="1"/>
  <c r="Q64" i="105" a="1"/>
  <c r="Q64" i="105" s="1"/>
  <c r="P64" i="105" a="1"/>
  <c r="P64" i="105" s="1"/>
  <c r="AB63" i="105" a="1"/>
  <c r="AB63" i="105" s="1"/>
  <c r="AA63" i="105" a="1"/>
  <c r="AA63" i="105" s="1"/>
  <c r="Z63" i="105" a="1"/>
  <c r="Z63" i="105" s="1"/>
  <c r="Y63" i="105" a="1"/>
  <c r="Y63" i="105" s="1"/>
  <c r="X63" i="105" a="1"/>
  <c r="X63" i="105" s="1"/>
  <c r="W63" i="105" a="1"/>
  <c r="W63" i="105" s="1"/>
  <c r="V63" i="105" a="1"/>
  <c r="V63" i="105" s="1"/>
  <c r="U63" i="105" a="1"/>
  <c r="U63" i="105" s="1"/>
  <c r="T63" i="105" a="1"/>
  <c r="T63" i="105" s="1"/>
  <c r="S63" i="105" a="1"/>
  <c r="S63" i="105" s="1"/>
  <c r="R63" i="105" a="1"/>
  <c r="R63" i="105" s="1"/>
  <c r="Q63" i="105" a="1"/>
  <c r="Q63" i="105" s="1"/>
  <c r="P63" i="105" a="1"/>
  <c r="P63" i="105" s="1"/>
  <c r="AB62" i="105" a="1"/>
  <c r="AB62" i="105" s="1"/>
  <c r="AA62" i="105" a="1"/>
  <c r="AA62" i="105" s="1"/>
  <c r="Z62" i="105" a="1"/>
  <c r="Z62" i="105" s="1"/>
  <c r="Y62" i="105" a="1"/>
  <c r="Y62" i="105" s="1"/>
  <c r="X62" i="105" a="1"/>
  <c r="X62" i="105" s="1"/>
  <c r="W62" i="105" a="1"/>
  <c r="W62" i="105" s="1"/>
  <c r="V62" i="105" a="1"/>
  <c r="V62" i="105" s="1"/>
  <c r="U62" i="105" a="1"/>
  <c r="U62" i="105" s="1"/>
  <c r="T62" i="105" a="1"/>
  <c r="T62" i="105" s="1"/>
  <c r="S62" i="105" a="1"/>
  <c r="S62" i="105" s="1"/>
  <c r="R62" i="105" a="1"/>
  <c r="R62" i="105" s="1"/>
  <c r="Q62" i="105" a="1"/>
  <c r="Q62" i="105" s="1"/>
  <c r="P62" i="105" a="1"/>
  <c r="P62" i="105" s="1"/>
  <c r="AB61" i="105" a="1"/>
  <c r="AB61" i="105" s="1"/>
  <c r="AA61" i="105" a="1"/>
  <c r="AA61" i="105" s="1"/>
  <c r="Z61" i="105" a="1"/>
  <c r="Z61" i="105" s="1"/>
  <c r="Y61" i="105" a="1"/>
  <c r="Y61" i="105" s="1"/>
  <c r="X61" i="105" a="1"/>
  <c r="X61" i="105" s="1"/>
  <c r="W61" i="105" a="1"/>
  <c r="W61" i="105" s="1"/>
  <c r="V61" i="105" a="1"/>
  <c r="V61" i="105" s="1"/>
  <c r="U61" i="105" a="1"/>
  <c r="U61" i="105" s="1"/>
  <c r="T61" i="105" a="1"/>
  <c r="T61" i="105" s="1"/>
  <c r="S61" i="105" a="1"/>
  <c r="S61" i="105" s="1"/>
  <c r="R61" i="105" a="1"/>
  <c r="R61" i="105" s="1"/>
  <c r="Q61" i="105" a="1"/>
  <c r="Q61" i="105" s="1"/>
  <c r="P61" i="105" a="1"/>
  <c r="P61" i="105" s="1"/>
  <c r="AB60" i="105" a="1"/>
  <c r="AB60" i="105" s="1"/>
  <c r="AA60" i="105" a="1"/>
  <c r="AA60" i="105" s="1"/>
  <c r="Z60" i="105" a="1"/>
  <c r="Z60" i="105" s="1"/>
  <c r="Y60" i="105" a="1"/>
  <c r="Y60" i="105" s="1"/>
  <c r="X60" i="105" a="1"/>
  <c r="X60" i="105" s="1"/>
  <c r="W60" i="105" a="1"/>
  <c r="W60" i="105" s="1"/>
  <c r="V60" i="105" a="1"/>
  <c r="V60" i="105" s="1"/>
  <c r="U60" i="105" a="1"/>
  <c r="U60" i="105" s="1"/>
  <c r="T60" i="105" a="1"/>
  <c r="T60" i="105" s="1"/>
  <c r="S60" i="105" a="1"/>
  <c r="S60" i="105" s="1"/>
  <c r="R60" i="105" a="1"/>
  <c r="R60" i="105" s="1"/>
  <c r="Q60" i="105" a="1"/>
  <c r="Q60" i="105" s="1"/>
  <c r="P60" i="105" a="1"/>
  <c r="P60" i="105" s="1"/>
  <c r="AB59" i="105" a="1"/>
  <c r="AB59" i="105" s="1"/>
  <c r="AA59" i="105" a="1"/>
  <c r="AA59" i="105" s="1"/>
  <c r="Z59" i="105" a="1"/>
  <c r="Z59" i="105" s="1"/>
  <c r="Y59" i="105" a="1"/>
  <c r="Y59" i="105" s="1"/>
  <c r="X59" i="105" a="1"/>
  <c r="X59" i="105" s="1"/>
  <c r="W59" i="105" a="1"/>
  <c r="W59" i="105" s="1"/>
  <c r="V59" i="105" a="1"/>
  <c r="V59" i="105" s="1"/>
  <c r="U59" i="105" a="1"/>
  <c r="U59" i="105" s="1"/>
  <c r="T59" i="105" a="1"/>
  <c r="T59" i="105" s="1"/>
  <c r="S59" i="105" a="1"/>
  <c r="S59" i="105" s="1"/>
  <c r="R59" i="105" a="1"/>
  <c r="R59" i="105" s="1"/>
  <c r="Q59" i="105" a="1"/>
  <c r="Q59" i="105" s="1"/>
  <c r="P59" i="105" a="1"/>
  <c r="P59" i="105" s="1"/>
  <c r="AB58" i="105" a="1"/>
  <c r="AB58" i="105" s="1"/>
  <c r="AA58" i="105" a="1"/>
  <c r="AA58" i="105" s="1"/>
  <c r="Z58" i="105" a="1"/>
  <c r="Z58" i="105" s="1"/>
  <c r="Y58" i="105" a="1"/>
  <c r="Y58" i="105" s="1"/>
  <c r="X58" i="105" a="1"/>
  <c r="X58" i="105" s="1"/>
  <c r="W58" i="105" a="1"/>
  <c r="W58" i="105" s="1"/>
  <c r="V58" i="105" a="1"/>
  <c r="V58" i="105" s="1"/>
  <c r="U58" i="105" a="1"/>
  <c r="U58" i="105" s="1"/>
  <c r="T58" i="105" a="1"/>
  <c r="T58" i="105" s="1"/>
  <c r="S58" i="105" a="1"/>
  <c r="S58" i="105" s="1"/>
  <c r="R58" i="105" a="1"/>
  <c r="R58" i="105" s="1"/>
  <c r="Q58" i="105" a="1"/>
  <c r="Q58" i="105" s="1"/>
  <c r="P58" i="105" a="1"/>
  <c r="P58" i="105" s="1"/>
  <c r="AB57" i="105" a="1"/>
  <c r="AB57" i="105" s="1"/>
  <c r="AA57" i="105" a="1"/>
  <c r="AA57" i="105" s="1"/>
  <c r="Z57" i="105" a="1"/>
  <c r="Z57" i="105" s="1"/>
  <c r="Y57" i="105" a="1"/>
  <c r="Y57" i="105" s="1"/>
  <c r="X57" i="105" a="1"/>
  <c r="X57" i="105" s="1"/>
  <c r="W57" i="105" a="1"/>
  <c r="W57" i="105" s="1"/>
  <c r="V57" i="105" a="1"/>
  <c r="V57" i="105" s="1"/>
  <c r="U57" i="105" a="1"/>
  <c r="U57" i="105" s="1"/>
  <c r="T57" i="105" a="1"/>
  <c r="T57" i="105" s="1"/>
  <c r="S57" i="105" a="1"/>
  <c r="S57" i="105" s="1"/>
  <c r="R57" i="105" a="1"/>
  <c r="R57" i="105" s="1"/>
  <c r="Q57" i="105" a="1"/>
  <c r="Q57" i="105" s="1"/>
  <c r="P57" i="105" a="1"/>
  <c r="P57" i="105" s="1"/>
  <c r="AB56" i="105" a="1"/>
  <c r="AB56" i="105" s="1"/>
  <c r="AA56" i="105" a="1"/>
  <c r="AA56" i="105" s="1"/>
  <c r="Z56" i="105" a="1"/>
  <c r="Z56" i="105" s="1"/>
  <c r="Y56" i="105" a="1"/>
  <c r="Y56" i="105" s="1"/>
  <c r="X56" i="105" a="1"/>
  <c r="X56" i="105" s="1"/>
  <c r="W56" i="105" a="1"/>
  <c r="W56" i="105" s="1"/>
  <c r="V56" i="105" a="1"/>
  <c r="V56" i="105" s="1"/>
  <c r="U56" i="105" a="1"/>
  <c r="U56" i="105" s="1"/>
  <c r="T56" i="105" a="1"/>
  <c r="T56" i="105" s="1"/>
  <c r="S56" i="105" a="1"/>
  <c r="S56" i="105" s="1"/>
  <c r="R56" i="105" a="1"/>
  <c r="R56" i="105" s="1"/>
  <c r="Q56" i="105" a="1"/>
  <c r="Q56" i="105" s="1"/>
  <c r="P56" i="105" a="1"/>
  <c r="P56" i="105" s="1"/>
  <c r="AB55" i="105" a="1"/>
  <c r="AB55" i="105" s="1"/>
  <c r="AA55" i="105" a="1"/>
  <c r="AA55" i="105" s="1"/>
  <c r="Z55" i="105" a="1"/>
  <c r="Z55" i="105" s="1"/>
  <c r="Y55" i="105" a="1"/>
  <c r="Y55" i="105" s="1"/>
  <c r="X55" i="105" a="1"/>
  <c r="X55" i="105" s="1"/>
  <c r="W55" i="105" a="1"/>
  <c r="W55" i="105" s="1"/>
  <c r="V55" i="105" a="1"/>
  <c r="V55" i="105" s="1"/>
  <c r="U55" i="105" a="1"/>
  <c r="U55" i="105" s="1"/>
  <c r="T55" i="105" a="1"/>
  <c r="T55" i="105" s="1"/>
  <c r="S55" i="105" a="1"/>
  <c r="S55" i="105" s="1"/>
  <c r="R55" i="105" a="1"/>
  <c r="R55" i="105" s="1"/>
  <c r="Q55" i="105" a="1"/>
  <c r="Q55" i="105" s="1"/>
  <c r="P55" i="105" a="1"/>
  <c r="P55" i="105" s="1"/>
  <c r="AB54" i="105" a="1"/>
  <c r="AB54" i="105" s="1"/>
  <c r="AA54" i="105" a="1"/>
  <c r="AA54" i="105" s="1"/>
  <c r="Z54" i="105" a="1"/>
  <c r="Z54" i="105" s="1"/>
  <c r="Y54" i="105" a="1"/>
  <c r="Y54" i="105" s="1"/>
  <c r="X54" i="105" a="1"/>
  <c r="X54" i="105" s="1"/>
  <c r="W54" i="105" a="1"/>
  <c r="W54" i="105" s="1"/>
  <c r="V54" i="105" a="1"/>
  <c r="V54" i="105" s="1"/>
  <c r="U54" i="105" a="1"/>
  <c r="U54" i="105" s="1"/>
  <c r="T54" i="105" a="1"/>
  <c r="T54" i="105" s="1"/>
  <c r="S54" i="105" a="1"/>
  <c r="S54" i="105" s="1"/>
  <c r="R54" i="105" a="1"/>
  <c r="R54" i="105" s="1"/>
  <c r="Q54" i="105" a="1"/>
  <c r="Q54" i="105" s="1"/>
  <c r="P54" i="105" a="1"/>
  <c r="P54" i="105" s="1"/>
  <c r="AB53" i="105" a="1"/>
  <c r="AB53" i="105" s="1"/>
  <c r="AA53" i="105" a="1"/>
  <c r="AA53" i="105" s="1"/>
  <c r="Z53" i="105" a="1"/>
  <c r="Z53" i="105" s="1"/>
  <c r="Y53" i="105" a="1"/>
  <c r="Y53" i="105" s="1"/>
  <c r="X53" i="105" a="1"/>
  <c r="X53" i="105" s="1"/>
  <c r="W53" i="105" a="1"/>
  <c r="W53" i="105" s="1"/>
  <c r="V53" i="105" a="1"/>
  <c r="V53" i="105" s="1"/>
  <c r="U53" i="105" a="1"/>
  <c r="U53" i="105" s="1"/>
  <c r="T53" i="105" a="1"/>
  <c r="T53" i="105" s="1"/>
  <c r="S53" i="105" a="1"/>
  <c r="S53" i="105" s="1"/>
  <c r="R53" i="105" a="1"/>
  <c r="R53" i="105" s="1"/>
  <c r="Q53" i="105" a="1"/>
  <c r="Q53" i="105" s="1"/>
  <c r="P53" i="105" a="1"/>
  <c r="P53" i="105" s="1"/>
  <c r="AB52" i="105" a="1"/>
  <c r="AB52" i="105" s="1"/>
  <c r="AA52" i="105" a="1"/>
  <c r="AA52" i="105" s="1"/>
  <c r="Z52" i="105" a="1"/>
  <c r="Z52" i="105" s="1"/>
  <c r="Y52" i="105" a="1"/>
  <c r="Y52" i="105" s="1"/>
  <c r="X52" i="105" a="1"/>
  <c r="X52" i="105" s="1"/>
  <c r="W52" i="105" a="1"/>
  <c r="W52" i="105" s="1"/>
  <c r="V52" i="105" a="1"/>
  <c r="V52" i="105" s="1"/>
  <c r="U52" i="105" a="1"/>
  <c r="U52" i="105" s="1"/>
  <c r="T52" i="105" a="1"/>
  <c r="T52" i="105" s="1"/>
  <c r="S52" i="105" a="1"/>
  <c r="S52" i="105" s="1"/>
  <c r="R52" i="105" a="1"/>
  <c r="R52" i="105" s="1"/>
  <c r="Q52" i="105" a="1"/>
  <c r="Q52" i="105" s="1"/>
  <c r="P52" i="105" a="1"/>
  <c r="P52" i="105" s="1"/>
  <c r="AB51" i="105" a="1"/>
  <c r="AB51" i="105" s="1"/>
  <c r="AA51" i="105" a="1"/>
  <c r="AA51" i="105" s="1"/>
  <c r="Z51" i="105" a="1"/>
  <c r="Z51" i="105" s="1"/>
  <c r="Y51" i="105" a="1"/>
  <c r="Y51" i="105" s="1"/>
  <c r="X51" i="105" a="1"/>
  <c r="X51" i="105" s="1"/>
  <c r="W51" i="105" a="1"/>
  <c r="W51" i="105" s="1"/>
  <c r="V51" i="105" a="1"/>
  <c r="V51" i="105" s="1"/>
  <c r="U51" i="105" a="1"/>
  <c r="U51" i="105" s="1"/>
  <c r="T51" i="105" a="1"/>
  <c r="T51" i="105" s="1"/>
  <c r="S51" i="105" a="1"/>
  <c r="S51" i="105" s="1"/>
  <c r="R51" i="105" a="1"/>
  <c r="R51" i="105" s="1"/>
  <c r="Q51" i="105" a="1"/>
  <c r="Q51" i="105" s="1"/>
  <c r="P51" i="105" a="1"/>
  <c r="P51" i="105" s="1"/>
  <c r="AB50" i="105" a="1"/>
  <c r="AB50" i="105" s="1"/>
  <c r="AA50" i="105" a="1"/>
  <c r="AA50" i="105" s="1"/>
  <c r="Z50" i="105" a="1"/>
  <c r="Z50" i="105" s="1"/>
  <c r="Y50" i="105" a="1"/>
  <c r="Y50" i="105" s="1"/>
  <c r="X50" i="105" a="1"/>
  <c r="X50" i="105" s="1"/>
  <c r="W50" i="105" a="1"/>
  <c r="W50" i="105" s="1"/>
  <c r="V50" i="105" a="1"/>
  <c r="V50" i="105" s="1"/>
  <c r="U50" i="105" a="1"/>
  <c r="U50" i="105" s="1"/>
  <c r="T50" i="105" a="1"/>
  <c r="T50" i="105" s="1"/>
  <c r="S50" i="105" a="1"/>
  <c r="S50" i="105" s="1"/>
  <c r="R50" i="105" a="1"/>
  <c r="R50" i="105" s="1"/>
  <c r="Q50" i="105" a="1"/>
  <c r="Q50" i="105" s="1"/>
  <c r="P50" i="105" a="1"/>
  <c r="P50" i="105" s="1"/>
  <c r="AB49" i="105" a="1"/>
  <c r="AB49" i="105" s="1"/>
  <c r="AA49" i="105" a="1"/>
  <c r="AA49" i="105" s="1"/>
  <c r="Z49" i="105" a="1"/>
  <c r="Z49" i="105" s="1"/>
  <c r="Y49" i="105" a="1"/>
  <c r="Y49" i="105" s="1"/>
  <c r="X49" i="105" a="1"/>
  <c r="X49" i="105" s="1"/>
  <c r="W49" i="105" a="1"/>
  <c r="W49" i="105" s="1"/>
  <c r="V49" i="105" a="1"/>
  <c r="V49" i="105" s="1"/>
  <c r="U49" i="105" a="1"/>
  <c r="U49" i="105" s="1"/>
  <c r="T49" i="105" a="1"/>
  <c r="T49" i="105" s="1"/>
  <c r="S49" i="105" a="1"/>
  <c r="S49" i="105" s="1"/>
  <c r="R49" i="105" a="1"/>
  <c r="R49" i="105" s="1"/>
  <c r="Q49" i="105" a="1"/>
  <c r="Q49" i="105" s="1"/>
  <c r="P49" i="105" a="1"/>
  <c r="P49" i="105" s="1"/>
  <c r="AB48" i="105" a="1"/>
  <c r="AB48" i="105" s="1"/>
  <c r="AA48" i="105" a="1"/>
  <c r="AA48" i="105" s="1"/>
  <c r="Z48" i="105" a="1"/>
  <c r="Z48" i="105" s="1"/>
  <c r="Y48" i="105" a="1"/>
  <c r="Y48" i="105" s="1"/>
  <c r="X48" i="105" a="1"/>
  <c r="X48" i="105" s="1"/>
  <c r="W48" i="105" a="1"/>
  <c r="W48" i="105" s="1"/>
  <c r="V48" i="105" a="1"/>
  <c r="V48" i="105" s="1"/>
  <c r="U48" i="105" a="1"/>
  <c r="U48" i="105" s="1"/>
  <c r="T48" i="105" a="1"/>
  <c r="T48" i="105" s="1"/>
  <c r="S48" i="105" a="1"/>
  <c r="S48" i="105" s="1"/>
  <c r="R48" i="105" a="1"/>
  <c r="R48" i="105" s="1"/>
  <c r="Q48" i="105" a="1"/>
  <c r="Q48" i="105" s="1"/>
  <c r="P48" i="105" a="1"/>
  <c r="P48" i="105" s="1"/>
  <c r="AB47" i="105" a="1"/>
  <c r="AB47" i="105" s="1"/>
  <c r="AA47" i="105" a="1"/>
  <c r="AA47" i="105" s="1"/>
  <c r="Z47" i="105" a="1"/>
  <c r="Z47" i="105" s="1"/>
  <c r="Y47" i="105" a="1"/>
  <c r="Y47" i="105" s="1"/>
  <c r="X47" i="105" a="1"/>
  <c r="X47" i="105" s="1"/>
  <c r="W47" i="105" a="1"/>
  <c r="W47" i="105" s="1"/>
  <c r="V47" i="105" a="1"/>
  <c r="V47" i="105" s="1"/>
  <c r="U47" i="105" a="1"/>
  <c r="U47" i="105" s="1"/>
  <c r="T47" i="105" a="1"/>
  <c r="T47" i="105" s="1"/>
  <c r="S47" i="105" a="1"/>
  <c r="S47" i="105" s="1"/>
  <c r="R47" i="105" a="1"/>
  <c r="R47" i="105" s="1"/>
  <c r="Q47" i="105" a="1"/>
  <c r="Q47" i="105" s="1"/>
  <c r="P47" i="105" a="1"/>
  <c r="P47" i="105" s="1"/>
  <c r="AB46" i="105" a="1"/>
  <c r="AB46" i="105" s="1"/>
  <c r="AA46" i="105" a="1"/>
  <c r="AA46" i="105" s="1"/>
  <c r="Z46" i="105" a="1"/>
  <c r="Z46" i="105" s="1"/>
  <c r="Y46" i="105" a="1"/>
  <c r="Y46" i="105" s="1"/>
  <c r="X46" i="105" a="1"/>
  <c r="X46" i="105" s="1"/>
  <c r="W46" i="105" a="1"/>
  <c r="W46" i="105" s="1"/>
  <c r="V46" i="105" a="1"/>
  <c r="V46" i="105" s="1"/>
  <c r="U46" i="105" a="1"/>
  <c r="U46" i="105" s="1"/>
  <c r="T46" i="105" a="1"/>
  <c r="T46" i="105" s="1"/>
  <c r="S46" i="105" a="1"/>
  <c r="S46" i="105" s="1"/>
  <c r="R46" i="105" a="1"/>
  <c r="R46" i="105" s="1"/>
  <c r="Q46" i="105" a="1"/>
  <c r="Q46" i="105" s="1"/>
  <c r="P46" i="105" a="1"/>
  <c r="P46" i="105" s="1"/>
  <c r="AB45" i="105" a="1"/>
  <c r="AB45" i="105" s="1"/>
  <c r="AA45" i="105" a="1"/>
  <c r="AA45" i="105" s="1"/>
  <c r="Z45" i="105" a="1"/>
  <c r="Z45" i="105" s="1"/>
  <c r="Y45" i="105" a="1"/>
  <c r="Y45" i="105" s="1"/>
  <c r="X45" i="105" a="1"/>
  <c r="X45" i="105" s="1"/>
  <c r="W45" i="105" a="1"/>
  <c r="W45" i="105" s="1"/>
  <c r="V45" i="105" a="1"/>
  <c r="V45" i="105" s="1"/>
  <c r="U45" i="105" a="1"/>
  <c r="U45" i="105" s="1"/>
  <c r="T45" i="105" a="1"/>
  <c r="T45" i="105" s="1"/>
  <c r="S45" i="105" a="1"/>
  <c r="S45" i="105" s="1"/>
  <c r="R45" i="105" a="1"/>
  <c r="R45" i="105" s="1"/>
  <c r="Q45" i="105" a="1"/>
  <c r="Q45" i="105" s="1"/>
  <c r="P45" i="105" a="1"/>
  <c r="P45" i="105" s="1"/>
  <c r="AB44" i="105" a="1"/>
  <c r="AB44" i="105" s="1"/>
  <c r="AA44" i="105" a="1"/>
  <c r="AA44" i="105" s="1"/>
  <c r="Z44" i="105" a="1"/>
  <c r="Z44" i="105" s="1"/>
  <c r="Y44" i="105" a="1"/>
  <c r="Y44" i="105" s="1"/>
  <c r="X44" i="105" a="1"/>
  <c r="X44" i="105" s="1"/>
  <c r="W44" i="105" a="1"/>
  <c r="W44" i="105" s="1"/>
  <c r="V44" i="105" a="1"/>
  <c r="V44" i="105" s="1"/>
  <c r="U44" i="105" a="1"/>
  <c r="U44" i="105" s="1"/>
  <c r="T44" i="105" a="1"/>
  <c r="T44" i="105" s="1"/>
  <c r="S44" i="105" a="1"/>
  <c r="S44" i="105" s="1"/>
  <c r="R44" i="105" a="1"/>
  <c r="R44" i="105" s="1"/>
  <c r="Q44" i="105" a="1"/>
  <c r="Q44" i="105" s="1"/>
  <c r="P44" i="105" a="1"/>
  <c r="P44" i="105" s="1"/>
  <c r="AB43" i="105" a="1"/>
  <c r="AB43" i="105" s="1"/>
  <c r="AA43" i="105" a="1"/>
  <c r="AA43" i="105" s="1"/>
  <c r="Z43" i="105" a="1"/>
  <c r="Z43" i="105" s="1"/>
  <c r="Y43" i="105" a="1"/>
  <c r="Y43" i="105" s="1"/>
  <c r="X43" i="105" a="1"/>
  <c r="X43" i="105" s="1"/>
  <c r="W43" i="105" a="1"/>
  <c r="W43" i="105" s="1"/>
  <c r="V43" i="105" a="1"/>
  <c r="V43" i="105" s="1"/>
  <c r="U43" i="105" a="1"/>
  <c r="U43" i="105" s="1"/>
  <c r="T43" i="105" a="1"/>
  <c r="T43" i="105" s="1"/>
  <c r="S43" i="105" a="1"/>
  <c r="S43" i="105" s="1"/>
  <c r="R43" i="105" a="1"/>
  <c r="R43" i="105" s="1"/>
  <c r="Q43" i="105" a="1"/>
  <c r="Q43" i="105" s="1"/>
  <c r="P43" i="105" a="1"/>
  <c r="P43" i="105" s="1"/>
  <c r="AB42" i="105" a="1"/>
  <c r="AB42" i="105" s="1"/>
  <c r="AA42" i="105" a="1"/>
  <c r="AA42" i="105" s="1"/>
  <c r="Z42" i="105" a="1"/>
  <c r="Z42" i="105" s="1"/>
  <c r="Y42" i="105" a="1"/>
  <c r="Y42" i="105" s="1"/>
  <c r="X42" i="105" a="1"/>
  <c r="X42" i="105" s="1"/>
  <c r="W42" i="105" a="1"/>
  <c r="W42" i="105" s="1"/>
  <c r="V42" i="105" a="1"/>
  <c r="V42" i="105" s="1"/>
  <c r="U42" i="105" a="1"/>
  <c r="U42" i="105" s="1"/>
  <c r="T42" i="105" a="1"/>
  <c r="T42" i="105" s="1"/>
  <c r="S42" i="105" a="1"/>
  <c r="S42" i="105" s="1"/>
  <c r="R42" i="105" a="1"/>
  <c r="R42" i="105" s="1"/>
  <c r="Q42" i="105" a="1"/>
  <c r="Q42" i="105" s="1"/>
  <c r="P42" i="105" a="1"/>
  <c r="P42" i="105" s="1"/>
  <c r="AB41" i="105" a="1"/>
  <c r="AB41" i="105" s="1"/>
  <c r="AA41" i="105" a="1"/>
  <c r="AA41" i="105" s="1"/>
  <c r="Z41" i="105" a="1"/>
  <c r="Z41" i="105" s="1"/>
  <c r="Y41" i="105" a="1"/>
  <c r="Y41" i="105" s="1"/>
  <c r="X41" i="105" a="1"/>
  <c r="X41" i="105" s="1"/>
  <c r="W41" i="105" a="1"/>
  <c r="W41" i="105" s="1"/>
  <c r="V41" i="105" a="1"/>
  <c r="V41" i="105" s="1"/>
  <c r="U41" i="105" a="1"/>
  <c r="U41" i="105" s="1"/>
  <c r="T41" i="105" a="1"/>
  <c r="T41" i="105" s="1"/>
  <c r="S41" i="105" a="1"/>
  <c r="S41" i="105" s="1"/>
  <c r="R41" i="105" a="1"/>
  <c r="R41" i="105" s="1"/>
  <c r="Q41" i="105" a="1"/>
  <c r="Q41" i="105" s="1"/>
  <c r="P41" i="105" a="1"/>
  <c r="P41" i="105" s="1"/>
  <c r="AB40" i="105" a="1"/>
  <c r="AB40" i="105" s="1"/>
  <c r="AA40" i="105" a="1"/>
  <c r="AA40" i="105" s="1"/>
  <c r="Z40" i="105" a="1"/>
  <c r="Z40" i="105" s="1"/>
  <c r="Y40" i="105" a="1"/>
  <c r="Y40" i="105" s="1"/>
  <c r="X40" i="105" a="1"/>
  <c r="X40" i="105" s="1"/>
  <c r="W40" i="105" a="1"/>
  <c r="W40" i="105" s="1"/>
  <c r="V40" i="105" a="1"/>
  <c r="V40" i="105" s="1"/>
  <c r="U40" i="105" a="1"/>
  <c r="U40" i="105" s="1"/>
  <c r="T40" i="105" a="1"/>
  <c r="T40" i="105" s="1"/>
  <c r="S40" i="105" a="1"/>
  <c r="S40" i="105" s="1"/>
  <c r="R40" i="105" a="1"/>
  <c r="R40" i="105" s="1"/>
  <c r="Q40" i="105" a="1"/>
  <c r="Q40" i="105" s="1"/>
  <c r="P40" i="105" a="1"/>
  <c r="P40" i="105" s="1"/>
  <c r="AB39" i="105" a="1"/>
  <c r="AB39" i="105" s="1"/>
  <c r="AA39" i="105" a="1"/>
  <c r="AA39" i="105" s="1"/>
  <c r="Z39" i="105" a="1"/>
  <c r="Z39" i="105" s="1"/>
  <c r="Y39" i="105" a="1"/>
  <c r="Y39" i="105" s="1"/>
  <c r="X39" i="105" a="1"/>
  <c r="X39" i="105" s="1"/>
  <c r="W39" i="105" a="1"/>
  <c r="W39" i="105" s="1"/>
  <c r="V39" i="105" a="1"/>
  <c r="V39" i="105" s="1"/>
  <c r="U39" i="105" a="1"/>
  <c r="U39" i="105" s="1"/>
  <c r="T39" i="105" a="1"/>
  <c r="T39" i="105" s="1"/>
  <c r="S39" i="105" a="1"/>
  <c r="S39" i="105" s="1"/>
  <c r="R39" i="105" a="1"/>
  <c r="R39" i="105" s="1"/>
  <c r="Q39" i="105" a="1"/>
  <c r="Q39" i="105" s="1"/>
  <c r="P39" i="105" a="1"/>
  <c r="P39" i="105" s="1"/>
  <c r="AB38" i="105" a="1"/>
  <c r="AB38" i="105" s="1"/>
  <c r="AA38" i="105" a="1"/>
  <c r="AA38" i="105" s="1"/>
  <c r="Z38" i="105" a="1"/>
  <c r="Z38" i="105" s="1"/>
  <c r="Y38" i="105" a="1"/>
  <c r="Y38" i="105" s="1"/>
  <c r="X38" i="105" a="1"/>
  <c r="X38" i="105" s="1"/>
  <c r="W38" i="105" a="1"/>
  <c r="W38" i="105" s="1"/>
  <c r="V38" i="105" a="1"/>
  <c r="V38" i="105" s="1"/>
  <c r="U38" i="105" a="1"/>
  <c r="U38" i="105" s="1"/>
  <c r="T38" i="105" a="1"/>
  <c r="T38" i="105" s="1"/>
  <c r="S38" i="105" a="1"/>
  <c r="S38" i="105" s="1"/>
  <c r="R38" i="105" a="1"/>
  <c r="R38" i="105" s="1"/>
  <c r="Q38" i="105" a="1"/>
  <c r="Q38" i="105" s="1"/>
  <c r="P38" i="105" a="1"/>
  <c r="P38" i="105" s="1"/>
  <c r="AB37" i="105" a="1"/>
  <c r="AB37" i="105" s="1"/>
  <c r="AA37" i="105" a="1"/>
  <c r="AA37" i="105" s="1"/>
  <c r="Z37" i="105" a="1"/>
  <c r="Z37" i="105" s="1"/>
  <c r="Y37" i="105" a="1"/>
  <c r="Y37" i="105" s="1"/>
  <c r="X37" i="105" a="1"/>
  <c r="X37" i="105" s="1"/>
  <c r="W37" i="105" a="1"/>
  <c r="W37" i="105" s="1"/>
  <c r="V37" i="105" a="1"/>
  <c r="V37" i="105" s="1"/>
  <c r="U37" i="105" a="1"/>
  <c r="U37" i="105" s="1"/>
  <c r="T37" i="105" a="1"/>
  <c r="T37" i="105" s="1"/>
  <c r="S37" i="105" a="1"/>
  <c r="S37" i="105" s="1"/>
  <c r="R37" i="105" a="1"/>
  <c r="R37" i="105" s="1"/>
  <c r="Q37" i="105" a="1"/>
  <c r="Q37" i="105" s="1"/>
  <c r="P37" i="105" a="1"/>
  <c r="P37" i="105" s="1"/>
  <c r="AB36" i="105" a="1"/>
  <c r="AB36" i="105" s="1"/>
  <c r="AA36" i="105" a="1"/>
  <c r="AA36" i="105" s="1"/>
  <c r="Z36" i="105" a="1"/>
  <c r="Z36" i="105" s="1"/>
  <c r="Y36" i="105" a="1"/>
  <c r="Y36" i="105" s="1"/>
  <c r="X36" i="105" a="1"/>
  <c r="X36" i="105" s="1"/>
  <c r="W36" i="105" a="1"/>
  <c r="W36" i="105" s="1"/>
  <c r="V36" i="105" a="1"/>
  <c r="V36" i="105" s="1"/>
  <c r="U36" i="105" a="1"/>
  <c r="U36" i="105" s="1"/>
  <c r="T36" i="105" a="1"/>
  <c r="T36" i="105" s="1"/>
  <c r="S36" i="105" a="1"/>
  <c r="S36" i="105" s="1"/>
  <c r="R36" i="105" a="1"/>
  <c r="R36" i="105" s="1"/>
  <c r="Q36" i="105" a="1"/>
  <c r="Q36" i="105" s="1"/>
  <c r="P36" i="105" a="1"/>
  <c r="P36" i="105" s="1"/>
  <c r="AB35" i="105" a="1"/>
  <c r="AB35" i="105" s="1"/>
  <c r="AA35" i="105" a="1"/>
  <c r="AA35" i="105" s="1"/>
  <c r="Z35" i="105" a="1"/>
  <c r="Z35" i="105" s="1"/>
  <c r="Y35" i="105" a="1"/>
  <c r="Y35" i="105" s="1"/>
  <c r="X35" i="105" a="1"/>
  <c r="X35" i="105" s="1"/>
  <c r="W35" i="105" a="1"/>
  <c r="W35" i="105" s="1"/>
  <c r="V35" i="105" a="1"/>
  <c r="V35" i="105" s="1"/>
  <c r="U35" i="105" a="1"/>
  <c r="U35" i="105" s="1"/>
  <c r="T35" i="105" a="1"/>
  <c r="T35" i="105" s="1"/>
  <c r="S35" i="105" a="1"/>
  <c r="S35" i="105" s="1"/>
  <c r="R35" i="105" a="1"/>
  <c r="R35" i="105" s="1"/>
  <c r="Q35" i="105" a="1"/>
  <c r="Q35" i="105" s="1"/>
  <c r="P35" i="105" a="1"/>
  <c r="P35" i="105" s="1"/>
  <c r="AB34" i="105" a="1"/>
  <c r="AB34" i="105" s="1"/>
  <c r="AA34" i="105" a="1"/>
  <c r="AA34" i="105" s="1"/>
  <c r="Z34" i="105" a="1"/>
  <c r="Z34" i="105" s="1"/>
  <c r="Y34" i="105" a="1"/>
  <c r="Y34" i="105" s="1"/>
  <c r="X34" i="105" a="1"/>
  <c r="X34" i="105" s="1"/>
  <c r="W34" i="105" a="1"/>
  <c r="W34" i="105" s="1"/>
  <c r="V34" i="105" a="1"/>
  <c r="V34" i="105" s="1"/>
  <c r="U34" i="105" a="1"/>
  <c r="U34" i="105" s="1"/>
  <c r="T34" i="105" a="1"/>
  <c r="T34" i="105" s="1"/>
  <c r="S34" i="105" a="1"/>
  <c r="S34" i="105" s="1"/>
  <c r="R34" i="105" a="1"/>
  <c r="R34" i="105" s="1"/>
  <c r="Q34" i="105" a="1"/>
  <c r="Q34" i="105" s="1"/>
  <c r="P34" i="105" a="1"/>
  <c r="P34" i="105" s="1"/>
  <c r="AB33" i="105" a="1"/>
  <c r="AB33" i="105" s="1"/>
  <c r="AA33" i="105" a="1"/>
  <c r="AA33" i="105" s="1"/>
  <c r="Z33" i="105" a="1"/>
  <c r="Z33" i="105" s="1"/>
  <c r="Y33" i="105" a="1"/>
  <c r="Y33" i="105" s="1"/>
  <c r="X33" i="105" a="1"/>
  <c r="X33" i="105" s="1"/>
  <c r="W33" i="105" a="1"/>
  <c r="W33" i="105" s="1"/>
  <c r="V33" i="105" a="1"/>
  <c r="V33" i="105" s="1"/>
  <c r="U33" i="105" a="1"/>
  <c r="U33" i="105" s="1"/>
  <c r="T33" i="105" a="1"/>
  <c r="T33" i="105" s="1"/>
  <c r="S33" i="105" a="1"/>
  <c r="S33" i="105" s="1"/>
  <c r="R33" i="105" a="1"/>
  <c r="R33" i="105" s="1"/>
  <c r="Q33" i="105" a="1"/>
  <c r="Q33" i="105" s="1"/>
  <c r="P33" i="105" a="1"/>
  <c r="P33" i="105" s="1"/>
  <c r="AB32" i="105" a="1"/>
  <c r="AB32" i="105" s="1"/>
  <c r="AA32" i="105" a="1"/>
  <c r="AA32" i="105" s="1"/>
  <c r="Z32" i="105" a="1"/>
  <c r="Z32" i="105" s="1"/>
  <c r="Y32" i="105" a="1"/>
  <c r="Y32" i="105" s="1"/>
  <c r="X32" i="105" a="1"/>
  <c r="X32" i="105" s="1"/>
  <c r="W32" i="105" a="1"/>
  <c r="W32" i="105" s="1"/>
  <c r="V32" i="105" a="1"/>
  <c r="V32" i="105" s="1"/>
  <c r="U32" i="105" a="1"/>
  <c r="U32" i="105" s="1"/>
  <c r="T32" i="105" a="1"/>
  <c r="T32" i="105" s="1"/>
  <c r="S32" i="105" a="1"/>
  <c r="S32" i="105" s="1"/>
  <c r="R32" i="105" a="1"/>
  <c r="R32" i="105" s="1"/>
  <c r="Q32" i="105" a="1"/>
  <c r="Q32" i="105" s="1"/>
  <c r="P32" i="105" a="1"/>
  <c r="P32" i="105" s="1"/>
  <c r="AB31" i="105" a="1"/>
  <c r="AB31" i="105" s="1"/>
  <c r="AA31" i="105" a="1"/>
  <c r="AA31" i="105" s="1"/>
  <c r="Z31" i="105" a="1"/>
  <c r="Z31" i="105" s="1"/>
  <c r="Y31" i="105" a="1"/>
  <c r="Y31" i="105" s="1"/>
  <c r="X31" i="105" a="1"/>
  <c r="X31" i="105" s="1"/>
  <c r="W31" i="105" a="1"/>
  <c r="W31" i="105" s="1"/>
  <c r="V31" i="105" a="1"/>
  <c r="V31" i="105" s="1"/>
  <c r="U31" i="105" a="1"/>
  <c r="U31" i="105" s="1"/>
  <c r="T31" i="105" a="1"/>
  <c r="T31" i="105" s="1"/>
  <c r="S31" i="105" a="1"/>
  <c r="S31" i="105" s="1"/>
  <c r="R31" i="105" a="1"/>
  <c r="R31" i="105" s="1"/>
  <c r="Q31" i="105" a="1"/>
  <c r="Q31" i="105" s="1"/>
  <c r="P31" i="105" a="1"/>
  <c r="P31" i="105" s="1"/>
  <c r="AB30" i="105" a="1"/>
  <c r="AB30" i="105" s="1"/>
  <c r="AA30" i="105" a="1"/>
  <c r="AA30" i="105" s="1"/>
  <c r="Z30" i="105" a="1"/>
  <c r="Z30" i="105" s="1"/>
  <c r="Y30" i="105" a="1"/>
  <c r="Y30" i="105" s="1"/>
  <c r="X30" i="105" a="1"/>
  <c r="X30" i="105" s="1"/>
  <c r="W30" i="105" a="1"/>
  <c r="W30" i="105" s="1"/>
  <c r="V30" i="105" a="1"/>
  <c r="V30" i="105" s="1"/>
  <c r="U30" i="105" a="1"/>
  <c r="U30" i="105" s="1"/>
  <c r="T30" i="105" a="1"/>
  <c r="T30" i="105" s="1"/>
  <c r="S30" i="105" a="1"/>
  <c r="S30" i="105" s="1"/>
  <c r="R30" i="105" a="1"/>
  <c r="R30" i="105" s="1"/>
  <c r="Q30" i="105" a="1"/>
  <c r="Q30" i="105" s="1"/>
  <c r="P30" i="105" a="1"/>
  <c r="P30" i="105" s="1"/>
  <c r="AB29" i="105" a="1"/>
  <c r="AB29" i="105" s="1"/>
  <c r="AA29" i="105" a="1"/>
  <c r="AA29" i="105" s="1"/>
  <c r="Z29" i="105" a="1"/>
  <c r="Z29" i="105" s="1"/>
  <c r="Y29" i="105" a="1"/>
  <c r="Y29" i="105" s="1"/>
  <c r="X29" i="105" a="1"/>
  <c r="X29" i="105" s="1"/>
  <c r="W29" i="105" a="1"/>
  <c r="W29" i="105" s="1"/>
  <c r="V29" i="105" a="1"/>
  <c r="V29" i="105" s="1"/>
  <c r="U29" i="105" a="1"/>
  <c r="U29" i="105" s="1"/>
  <c r="T29" i="105" a="1"/>
  <c r="T29" i="105" s="1"/>
  <c r="S29" i="105" a="1"/>
  <c r="S29" i="105" s="1"/>
  <c r="R29" i="105" a="1"/>
  <c r="R29" i="105" s="1"/>
  <c r="Q29" i="105" a="1"/>
  <c r="Q29" i="105" s="1"/>
  <c r="P29" i="105" a="1"/>
  <c r="P29" i="105" s="1"/>
  <c r="AB28" i="105" a="1"/>
  <c r="AB28" i="105" s="1"/>
  <c r="AA28" i="105" a="1"/>
  <c r="AA28" i="105" s="1"/>
  <c r="Z28" i="105" a="1"/>
  <c r="Z28" i="105" s="1"/>
  <c r="Y28" i="105" a="1"/>
  <c r="Y28" i="105" s="1"/>
  <c r="X28" i="105" a="1"/>
  <c r="X28" i="105" s="1"/>
  <c r="W28" i="105" a="1"/>
  <c r="W28" i="105" s="1"/>
  <c r="V28" i="105" a="1"/>
  <c r="V28" i="105" s="1"/>
  <c r="U28" i="105" a="1"/>
  <c r="U28" i="105" s="1"/>
  <c r="T28" i="105" a="1"/>
  <c r="T28" i="105" s="1"/>
  <c r="S28" i="105" a="1"/>
  <c r="S28" i="105" s="1"/>
  <c r="R28" i="105" a="1"/>
  <c r="R28" i="105" s="1"/>
  <c r="Q28" i="105" a="1"/>
  <c r="Q28" i="105" s="1"/>
  <c r="P28" i="105" a="1"/>
  <c r="P28" i="105" s="1"/>
  <c r="AB27" i="105" a="1"/>
  <c r="AB27" i="105" s="1"/>
  <c r="AA27" i="105" a="1"/>
  <c r="AA27" i="105" s="1"/>
  <c r="Z27" i="105" a="1"/>
  <c r="Z27" i="105" s="1"/>
  <c r="Y27" i="105" a="1"/>
  <c r="Y27" i="105" s="1"/>
  <c r="X27" i="105" a="1"/>
  <c r="X27" i="105" s="1"/>
  <c r="W27" i="105" a="1"/>
  <c r="W27" i="105" s="1"/>
  <c r="V27" i="105" a="1"/>
  <c r="V27" i="105" s="1"/>
  <c r="U27" i="105" a="1"/>
  <c r="U27" i="105" s="1"/>
  <c r="T27" i="105" a="1"/>
  <c r="T27" i="105" s="1"/>
  <c r="S27" i="105" a="1"/>
  <c r="S27" i="105" s="1"/>
  <c r="R27" i="105" a="1"/>
  <c r="R27" i="105" s="1"/>
  <c r="Q27" i="105" a="1"/>
  <c r="Q27" i="105" s="1"/>
  <c r="P27" i="105" a="1"/>
  <c r="P27" i="105" s="1"/>
  <c r="AB26" i="105" a="1"/>
  <c r="AB26" i="105" s="1"/>
  <c r="AA26" i="105" a="1"/>
  <c r="AA26" i="105" s="1"/>
  <c r="Z26" i="105" a="1"/>
  <c r="Z26" i="105" s="1"/>
  <c r="Y26" i="105" a="1"/>
  <c r="Y26" i="105" s="1"/>
  <c r="X26" i="105" a="1"/>
  <c r="X26" i="105" s="1"/>
  <c r="W26" i="105" a="1"/>
  <c r="W26" i="105" s="1"/>
  <c r="V26" i="105" a="1"/>
  <c r="V26" i="105" s="1"/>
  <c r="U26" i="105" a="1"/>
  <c r="U26" i="105" s="1"/>
  <c r="T26" i="105" a="1"/>
  <c r="T26" i="105" s="1"/>
  <c r="S26" i="105" a="1"/>
  <c r="S26" i="105" s="1"/>
  <c r="R26" i="105" a="1"/>
  <c r="R26" i="105" s="1"/>
  <c r="Q26" i="105" a="1"/>
  <c r="Q26" i="105" s="1"/>
  <c r="P26" i="105" a="1"/>
  <c r="P26" i="105" s="1"/>
  <c r="AB25" i="105" a="1"/>
  <c r="AB25" i="105" s="1"/>
  <c r="AA25" i="105" a="1"/>
  <c r="AA25" i="105" s="1"/>
  <c r="Z25" i="105" a="1"/>
  <c r="Z25" i="105" s="1"/>
  <c r="Y25" i="105" a="1"/>
  <c r="Y25" i="105" s="1"/>
  <c r="X25" i="105" a="1"/>
  <c r="X25" i="105" s="1"/>
  <c r="W25" i="105" a="1"/>
  <c r="W25" i="105" s="1"/>
  <c r="V25" i="105" a="1"/>
  <c r="V25" i="105" s="1"/>
  <c r="U25" i="105" a="1"/>
  <c r="U25" i="105" s="1"/>
  <c r="T25" i="105" a="1"/>
  <c r="T25" i="105" s="1"/>
  <c r="S25" i="105" a="1"/>
  <c r="S25" i="105" s="1"/>
  <c r="R25" i="105" a="1"/>
  <c r="R25" i="105" s="1"/>
  <c r="Q25" i="105" a="1"/>
  <c r="Q25" i="105" s="1"/>
  <c r="P25" i="105" a="1"/>
  <c r="P25" i="105" s="1"/>
  <c r="AB24" i="105" a="1"/>
  <c r="AB24" i="105" s="1"/>
  <c r="AA24" i="105" a="1"/>
  <c r="AA24" i="105" s="1"/>
  <c r="Z24" i="105" a="1"/>
  <c r="Z24" i="105" s="1"/>
  <c r="Y24" i="105" a="1"/>
  <c r="Y24" i="105" s="1"/>
  <c r="X24" i="105" a="1"/>
  <c r="X24" i="105" s="1"/>
  <c r="W24" i="105" a="1"/>
  <c r="W24" i="105" s="1"/>
  <c r="V24" i="105" a="1"/>
  <c r="V24" i="105" s="1"/>
  <c r="U24" i="105" a="1"/>
  <c r="U24" i="105" s="1"/>
  <c r="T24" i="105" a="1"/>
  <c r="T24" i="105" s="1"/>
  <c r="S24" i="105" a="1"/>
  <c r="S24" i="105" s="1"/>
  <c r="R24" i="105" a="1"/>
  <c r="R24" i="105" s="1"/>
  <c r="Q24" i="105" a="1"/>
  <c r="Q24" i="105" s="1"/>
  <c r="P24" i="105" a="1"/>
  <c r="P24" i="105" s="1"/>
  <c r="AB23" i="105" a="1"/>
  <c r="AB23" i="105" s="1"/>
  <c r="AA23" i="105" a="1"/>
  <c r="AA23" i="105" s="1"/>
  <c r="Z23" i="105" a="1"/>
  <c r="Z23" i="105" s="1"/>
  <c r="Y23" i="105" a="1"/>
  <c r="Y23" i="105" s="1"/>
  <c r="X23" i="105" a="1"/>
  <c r="X23" i="105" s="1"/>
  <c r="W23" i="105" a="1"/>
  <c r="W23" i="105" s="1"/>
  <c r="V23" i="105" a="1"/>
  <c r="V23" i="105" s="1"/>
  <c r="U23" i="105" a="1"/>
  <c r="U23" i="105" s="1"/>
  <c r="T23" i="105" a="1"/>
  <c r="T23" i="105" s="1"/>
  <c r="S23" i="105" a="1"/>
  <c r="S23" i="105" s="1"/>
  <c r="R23" i="105" a="1"/>
  <c r="R23" i="105" s="1"/>
  <c r="Q23" i="105" a="1"/>
  <c r="Q23" i="105" s="1"/>
  <c r="P23" i="105" a="1"/>
  <c r="P23" i="105" s="1"/>
  <c r="AB22" i="105" a="1"/>
  <c r="AB22" i="105" s="1"/>
  <c r="AA22" i="105" a="1"/>
  <c r="AA22" i="105" s="1"/>
  <c r="Z22" i="105" a="1"/>
  <c r="Z22" i="105" s="1"/>
  <c r="Y22" i="105" a="1"/>
  <c r="Y22" i="105" s="1"/>
  <c r="X22" i="105" a="1"/>
  <c r="X22" i="105" s="1"/>
  <c r="W22" i="105" a="1"/>
  <c r="W22" i="105" s="1"/>
  <c r="V22" i="105" a="1"/>
  <c r="V22" i="105" s="1"/>
  <c r="U22" i="105" a="1"/>
  <c r="U22" i="105" s="1"/>
  <c r="T22" i="105" a="1"/>
  <c r="T22" i="105" s="1"/>
  <c r="S22" i="105" a="1"/>
  <c r="S22" i="105" s="1"/>
  <c r="R22" i="105" a="1"/>
  <c r="R22" i="105" s="1"/>
  <c r="Q22" i="105" a="1"/>
  <c r="Q22" i="105" s="1"/>
  <c r="P22" i="105" a="1"/>
  <c r="P22" i="105" s="1"/>
  <c r="AB21" i="105" a="1"/>
  <c r="AB21" i="105" s="1"/>
  <c r="AA21" i="105" a="1"/>
  <c r="AA21" i="105" s="1"/>
  <c r="Z21" i="105" a="1"/>
  <c r="Z21" i="105" s="1"/>
  <c r="Y21" i="105" a="1"/>
  <c r="Y21" i="105" s="1"/>
  <c r="X21" i="105" a="1"/>
  <c r="X21" i="105" s="1"/>
  <c r="W21" i="105" a="1"/>
  <c r="W21" i="105" s="1"/>
  <c r="V21" i="105" a="1"/>
  <c r="V21" i="105" s="1"/>
  <c r="U21" i="105" a="1"/>
  <c r="U21" i="105" s="1"/>
  <c r="T21" i="105" a="1"/>
  <c r="T21" i="105" s="1"/>
  <c r="S21" i="105" a="1"/>
  <c r="S21" i="105" s="1"/>
  <c r="R21" i="105" a="1"/>
  <c r="R21" i="105" s="1"/>
  <c r="Q21" i="105" a="1"/>
  <c r="Q21" i="105" s="1"/>
  <c r="P21" i="105" a="1"/>
  <c r="P21" i="105" s="1"/>
  <c r="AB20" i="105" a="1"/>
  <c r="AB20" i="105" s="1"/>
  <c r="AA20" i="105" a="1"/>
  <c r="AA20" i="105" s="1"/>
  <c r="Z20" i="105" a="1"/>
  <c r="Z20" i="105" s="1"/>
  <c r="Y20" i="105" a="1"/>
  <c r="Y20" i="105" s="1"/>
  <c r="X20" i="105" a="1"/>
  <c r="X20" i="105" s="1"/>
  <c r="W20" i="105" a="1"/>
  <c r="W20" i="105" s="1"/>
  <c r="V20" i="105" a="1"/>
  <c r="V20" i="105" s="1"/>
  <c r="U20" i="105" a="1"/>
  <c r="U20" i="105" s="1"/>
  <c r="T20" i="105" a="1"/>
  <c r="T20" i="105" s="1"/>
  <c r="S20" i="105" a="1"/>
  <c r="S20" i="105" s="1"/>
  <c r="R20" i="105" a="1"/>
  <c r="R20" i="105" s="1"/>
  <c r="Q20" i="105" a="1"/>
  <c r="Q20" i="105" s="1"/>
  <c r="P20" i="105" a="1"/>
  <c r="P20" i="105" s="1"/>
  <c r="G20" i="105"/>
  <c r="F20" i="105"/>
  <c r="C20" i="105"/>
  <c r="I178" i="105" s="1"/>
  <c r="K178" i="105" s="1"/>
  <c r="AB19" i="105" a="1"/>
  <c r="AB19" i="105" s="1"/>
  <c r="AA19" i="105" a="1"/>
  <c r="AA19" i="105" s="1"/>
  <c r="Z19" i="105" a="1"/>
  <c r="Z19" i="105" s="1"/>
  <c r="Y19" i="105" a="1"/>
  <c r="Y19" i="105" s="1"/>
  <c r="X19" i="105" a="1"/>
  <c r="X19" i="105" s="1"/>
  <c r="W19" i="105" a="1"/>
  <c r="W19" i="105" s="1"/>
  <c r="V19" i="105" a="1"/>
  <c r="V19" i="105" s="1"/>
  <c r="U19" i="105" a="1"/>
  <c r="U19" i="105" s="1"/>
  <c r="T19" i="105" a="1"/>
  <c r="T19" i="105" s="1"/>
  <c r="S19" i="105" a="1"/>
  <c r="S19" i="105" s="1"/>
  <c r="R19" i="105" a="1"/>
  <c r="R19" i="105" s="1"/>
  <c r="Q19" i="105" a="1"/>
  <c r="Q19" i="105" s="1"/>
  <c r="P19" i="105" a="1"/>
  <c r="P19" i="105" s="1"/>
  <c r="G19" i="105"/>
  <c r="F19" i="105"/>
  <c r="C19" i="105"/>
  <c r="I123" i="105" s="1"/>
  <c r="K123" i="105" s="1"/>
  <c r="AB18" i="105" a="1"/>
  <c r="AB18" i="105" s="1"/>
  <c r="AA18" i="105" a="1"/>
  <c r="AA18" i="105" s="1"/>
  <c r="Z18" i="105" a="1"/>
  <c r="Z18" i="105" s="1"/>
  <c r="Y18" i="105" a="1"/>
  <c r="Y18" i="105" s="1"/>
  <c r="X18" i="105" a="1"/>
  <c r="X18" i="105" s="1"/>
  <c r="W18" i="105" a="1"/>
  <c r="W18" i="105" s="1"/>
  <c r="V18" i="105" a="1"/>
  <c r="V18" i="105" s="1"/>
  <c r="U18" i="105" a="1"/>
  <c r="U18" i="105" s="1"/>
  <c r="T18" i="105" a="1"/>
  <c r="T18" i="105" s="1"/>
  <c r="S18" i="105" a="1"/>
  <c r="S18" i="105" s="1"/>
  <c r="R18" i="105" a="1"/>
  <c r="R18" i="105" s="1"/>
  <c r="Q18" i="105" a="1"/>
  <c r="Q18" i="105" s="1"/>
  <c r="P18" i="105" a="1"/>
  <c r="P18" i="105" s="1"/>
  <c r="G18" i="105"/>
  <c r="F18" i="105"/>
  <c r="C18" i="105"/>
  <c r="I187" i="105" s="1"/>
  <c r="K187" i="105" s="1"/>
  <c r="AB17" i="105" a="1"/>
  <c r="AB17" i="105" s="1"/>
  <c r="AA17" i="105" a="1"/>
  <c r="AA17" i="105" s="1"/>
  <c r="Z17" i="105" a="1"/>
  <c r="Z17" i="105" s="1"/>
  <c r="Y17" i="105" a="1"/>
  <c r="Y17" i="105" s="1"/>
  <c r="X17" i="105" a="1"/>
  <c r="X17" i="105" s="1"/>
  <c r="W17" i="105" a="1"/>
  <c r="W17" i="105" s="1"/>
  <c r="V17" i="105" a="1"/>
  <c r="V17" i="105" s="1"/>
  <c r="U17" i="105" a="1"/>
  <c r="U17" i="105" s="1"/>
  <c r="T17" i="105" a="1"/>
  <c r="T17" i="105" s="1"/>
  <c r="S17" i="105" a="1"/>
  <c r="S17" i="105" s="1"/>
  <c r="R17" i="105" a="1"/>
  <c r="R17" i="105" s="1"/>
  <c r="Q17" i="105" a="1"/>
  <c r="Q17" i="105" s="1"/>
  <c r="P17" i="105" a="1"/>
  <c r="P17" i="105" s="1"/>
  <c r="G17" i="105"/>
  <c r="F17" i="105"/>
  <c r="C17" i="105"/>
  <c r="I32" i="105" s="1"/>
  <c r="K32" i="105" s="1"/>
  <c r="AB16" i="105" a="1"/>
  <c r="AB16" i="105" s="1"/>
  <c r="AA16" i="105" a="1"/>
  <c r="AA16" i="105" s="1"/>
  <c r="Z16" i="105" a="1"/>
  <c r="Z16" i="105" s="1"/>
  <c r="Y16" i="105" a="1"/>
  <c r="Y16" i="105" s="1"/>
  <c r="X16" i="105" a="1"/>
  <c r="X16" i="105" s="1"/>
  <c r="W16" i="105" a="1"/>
  <c r="W16" i="105" s="1"/>
  <c r="V16" i="105" a="1"/>
  <c r="V16" i="105" s="1"/>
  <c r="U16" i="105" a="1"/>
  <c r="U16" i="105" s="1"/>
  <c r="T16" i="105" a="1"/>
  <c r="T16" i="105" s="1"/>
  <c r="S16" i="105" a="1"/>
  <c r="S16" i="105" s="1"/>
  <c r="R16" i="105" a="1"/>
  <c r="R16" i="105" s="1"/>
  <c r="Q16" i="105" a="1"/>
  <c r="Q16" i="105" s="1"/>
  <c r="P16" i="105" a="1"/>
  <c r="P16" i="105" s="1"/>
  <c r="G16" i="105"/>
  <c r="F16" i="105"/>
  <c r="C16" i="105"/>
  <c r="I239" i="105" s="1"/>
  <c r="K239" i="105" s="1"/>
  <c r="AB15" i="105" a="1"/>
  <c r="AB15" i="105" s="1"/>
  <c r="AA15" i="105" a="1"/>
  <c r="AA15" i="105" s="1"/>
  <c r="Z15" i="105" a="1"/>
  <c r="Z15" i="105" s="1"/>
  <c r="Y15" i="105" a="1"/>
  <c r="Y15" i="105" s="1"/>
  <c r="X15" i="105" a="1"/>
  <c r="X15" i="105" s="1"/>
  <c r="W15" i="105" a="1"/>
  <c r="W15" i="105" s="1"/>
  <c r="V15" i="105" a="1"/>
  <c r="V15" i="105" s="1"/>
  <c r="U15" i="105" a="1"/>
  <c r="U15" i="105" s="1"/>
  <c r="T15" i="105" a="1"/>
  <c r="T15" i="105" s="1"/>
  <c r="S15" i="105" a="1"/>
  <c r="S15" i="105" s="1"/>
  <c r="R15" i="105" a="1"/>
  <c r="R15" i="105" s="1"/>
  <c r="Q15" i="105" a="1"/>
  <c r="Q15" i="105" s="1"/>
  <c r="P15" i="105" a="1"/>
  <c r="P15" i="105" s="1"/>
  <c r="G15" i="105"/>
  <c r="F15" i="105"/>
  <c r="C15" i="105"/>
  <c r="I13" i="105" s="1"/>
  <c r="K13" i="105" s="1"/>
  <c r="AB14" i="105" a="1"/>
  <c r="AB14" i="105" s="1"/>
  <c r="AA14" i="105" a="1"/>
  <c r="AA14" i="105" s="1"/>
  <c r="Z14" i="105" a="1"/>
  <c r="Z14" i="105" s="1"/>
  <c r="Y14" i="105" a="1"/>
  <c r="Y14" i="105" s="1"/>
  <c r="X14" i="105" a="1"/>
  <c r="X14" i="105" s="1"/>
  <c r="W14" i="105" a="1"/>
  <c r="W14" i="105" s="1"/>
  <c r="V14" i="105" a="1"/>
  <c r="V14" i="105" s="1"/>
  <c r="U14" i="105" a="1"/>
  <c r="U14" i="105" s="1"/>
  <c r="T14" i="105" a="1"/>
  <c r="T14" i="105" s="1"/>
  <c r="S14" i="105" a="1"/>
  <c r="S14" i="105" s="1"/>
  <c r="R14" i="105" a="1"/>
  <c r="R14" i="105" s="1"/>
  <c r="Q14" i="105" a="1"/>
  <c r="Q14" i="105" s="1"/>
  <c r="P14" i="105" a="1"/>
  <c r="P14" i="105" s="1"/>
  <c r="G14" i="105"/>
  <c r="F14" i="105"/>
  <c r="C14" i="105"/>
  <c r="I36" i="105" s="1"/>
  <c r="K36" i="105" s="1"/>
  <c r="AB13" i="105" a="1"/>
  <c r="AB13" i="105" s="1"/>
  <c r="AA13" i="105" a="1"/>
  <c r="AA13" i="105" s="1"/>
  <c r="Z13" i="105" a="1"/>
  <c r="Z13" i="105" s="1"/>
  <c r="Y13" i="105" a="1"/>
  <c r="Y13" i="105" s="1"/>
  <c r="X13" i="105" a="1"/>
  <c r="X13" i="105" s="1"/>
  <c r="W13" i="105" a="1"/>
  <c r="W13" i="105" s="1"/>
  <c r="V13" i="105" a="1"/>
  <c r="V13" i="105" s="1"/>
  <c r="U13" i="105" a="1"/>
  <c r="U13" i="105" s="1"/>
  <c r="T13" i="105" a="1"/>
  <c r="T13" i="105" s="1"/>
  <c r="S13" i="105" a="1"/>
  <c r="S13" i="105" s="1"/>
  <c r="R13" i="105" a="1"/>
  <c r="R13" i="105" s="1"/>
  <c r="Q13" i="105" a="1"/>
  <c r="Q13" i="105" s="1"/>
  <c r="P13" i="105" a="1"/>
  <c r="P13" i="105" s="1"/>
  <c r="G13" i="105"/>
  <c r="F13" i="105"/>
  <c r="C13" i="105"/>
  <c r="AB12" i="105" a="1"/>
  <c r="AB12" i="105" s="1"/>
  <c r="AA12" i="105" a="1"/>
  <c r="AA12" i="105" s="1"/>
  <c r="Z12" i="105" a="1"/>
  <c r="Z12" i="105" s="1"/>
  <c r="Y12" i="105" a="1"/>
  <c r="Y12" i="105" s="1"/>
  <c r="X12" i="105" a="1"/>
  <c r="X12" i="105" s="1"/>
  <c r="W12" i="105" a="1"/>
  <c r="W12" i="105" s="1"/>
  <c r="V12" i="105" a="1"/>
  <c r="V12" i="105" s="1"/>
  <c r="U12" i="105" a="1"/>
  <c r="U12" i="105" s="1"/>
  <c r="T12" i="105" a="1"/>
  <c r="T12" i="105" s="1"/>
  <c r="S12" i="105" a="1"/>
  <c r="S12" i="105" s="1"/>
  <c r="R12" i="105" a="1"/>
  <c r="R12" i="105" s="1"/>
  <c r="Q12" i="105" a="1"/>
  <c r="Q12" i="105" s="1"/>
  <c r="P12" i="105" a="1"/>
  <c r="P12" i="105" s="1"/>
  <c r="G12" i="105"/>
  <c r="F12" i="105"/>
  <c r="C12" i="105"/>
  <c r="I22" i="105" s="1"/>
  <c r="K22" i="105" s="1"/>
  <c r="AB11" i="105" a="1"/>
  <c r="AB11" i="105" s="1"/>
  <c r="AA11" i="105" a="1"/>
  <c r="AA11" i="105" s="1"/>
  <c r="Z11" i="105" a="1"/>
  <c r="Z11" i="105" s="1"/>
  <c r="Y11" i="105" a="1"/>
  <c r="Y11" i="105" s="1"/>
  <c r="X11" i="105" a="1"/>
  <c r="X11" i="105" s="1"/>
  <c r="W11" i="105" a="1"/>
  <c r="W11" i="105" s="1"/>
  <c r="V11" i="105" a="1"/>
  <c r="V11" i="105" s="1"/>
  <c r="U11" i="105" a="1"/>
  <c r="U11" i="105" s="1"/>
  <c r="T11" i="105" a="1"/>
  <c r="T11" i="105" s="1"/>
  <c r="S11" i="105" a="1"/>
  <c r="S11" i="105" s="1"/>
  <c r="R11" i="105" a="1"/>
  <c r="R11" i="105" s="1"/>
  <c r="Q11" i="105" a="1"/>
  <c r="Q11" i="105" s="1"/>
  <c r="P11" i="105" a="1"/>
  <c r="P11" i="105" s="1"/>
  <c r="G11" i="105"/>
  <c r="F11" i="105"/>
  <c r="C11" i="105"/>
  <c r="I11" i="105" s="1"/>
  <c r="K11" i="105" s="1"/>
  <c r="AB10" i="105" a="1"/>
  <c r="AB10" i="105" s="1"/>
  <c r="AA10" i="105" a="1"/>
  <c r="AA10" i="105" s="1"/>
  <c r="Z10" i="105" a="1"/>
  <c r="Z10" i="105" s="1"/>
  <c r="Y10" i="105" a="1"/>
  <c r="Y10" i="105" s="1"/>
  <c r="X10" i="105" a="1"/>
  <c r="X10" i="105" s="1"/>
  <c r="W10" i="105" a="1"/>
  <c r="W10" i="105" s="1"/>
  <c r="V10" i="105" a="1"/>
  <c r="V10" i="105" s="1"/>
  <c r="U10" i="105" a="1"/>
  <c r="U10" i="105" s="1"/>
  <c r="T10" i="105" a="1"/>
  <c r="T10" i="105" s="1"/>
  <c r="S10" i="105" a="1"/>
  <c r="S10" i="105" s="1"/>
  <c r="R10" i="105" a="1"/>
  <c r="R10" i="105" s="1"/>
  <c r="Q10" i="105" a="1"/>
  <c r="Q10" i="105" s="1"/>
  <c r="P10" i="105" a="1"/>
  <c r="P10" i="105" s="1"/>
  <c r="G10" i="105"/>
  <c r="F10" i="105"/>
  <c r="C10" i="105"/>
  <c r="AB9" i="105" a="1"/>
  <c r="AB9" i="105" s="1"/>
  <c r="AA9" i="105" a="1"/>
  <c r="AA9" i="105" s="1"/>
  <c r="Z9" i="105" a="1"/>
  <c r="Z9" i="105" s="1"/>
  <c r="Y9" i="105" a="1"/>
  <c r="Y9" i="105" s="1"/>
  <c r="X9" i="105" a="1"/>
  <c r="X9" i="105" s="1"/>
  <c r="W9" i="105" a="1"/>
  <c r="W9" i="105" s="1"/>
  <c r="V9" i="105" a="1"/>
  <c r="V9" i="105" s="1"/>
  <c r="U9" i="105" a="1"/>
  <c r="U9" i="105" s="1"/>
  <c r="T9" i="105" a="1"/>
  <c r="T9" i="105" s="1"/>
  <c r="S9" i="105" a="1"/>
  <c r="S9" i="105" s="1"/>
  <c r="R9" i="105" a="1"/>
  <c r="R9" i="105" s="1"/>
  <c r="Q9" i="105" a="1"/>
  <c r="Q9" i="105" s="1"/>
  <c r="P9" i="105" a="1"/>
  <c r="P9" i="105" s="1"/>
  <c r="G9" i="105"/>
  <c r="F9" i="105"/>
  <c r="C9" i="105"/>
  <c r="I69" i="105" s="1"/>
  <c r="K69" i="105" s="1"/>
  <c r="AB8" i="105" a="1"/>
  <c r="AB8" i="105" s="1"/>
  <c r="AA8" i="105" a="1"/>
  <c r="AA8" i="105" s="1"/>
  <c r="Z8" i="105" a="1"/>
  <c r="Z8" i="105" s="1"/>
  <c r="Y8" i="105" a="1"/>
  <c r="Y8" i="105" s="1"/>
  <c r="X8" i="105" a="1"/>
  <c r="X8" i="105" s="1"/>
  <c r="W8" i="105" a="1"/>
  <c r="W8" i="105" s="1"/>
  <c r="V8" i="105" a="1"/>
  <c r="V8" i="105" s="1"/>
  <c r="U8" i="105" a="1"/>
  <c r="U8" i="105" s="1"/>
  <c r="T8" i="105" a="1"/>
  <c r="T8" i="105" s="1"/>
  <c r="S8" i="105" a="1"/>
  <c r="S8" i="105" s="1"/>
  <c r="R8" i="105" a="1"/>
  <c r="R8" i="105" s="1"/>
  <c r="Q8" i="105" a="1"/>
  <c r="Q8" i="105" s="1"/>
  <c r="P8" i="105" a="1"/>
  <c r="P8" i="105" s="1"/>
  <c r="G8" i="105"/>
  <c r="F8" i="105"/>
  <c r="C8" i="105"/>
  <c r="I46" i="105" s="1"/>
  <c r="K46" i="105" s="1"/>
  <c r="I10" i="105" l="1"/>
  <c r="K10" i="105" s="1"/>
  <c r="E13" i="98" s="1"/>
  <c r="I21" i="105"/>
  <c r="K21" i="105" s="1"/>
  <c r="I64" i="105"/>
  <c r="K64" i="105" s="1"/>
  <c r="I299" i="105"/>
  <c r="K299" i="105" s="1"/>
  <c r="I109" i="105"/>
  <c r="K109" i="105" s="1"/>
  <c r="I300" i="105"/>
  <c r="K300" i="105" s="1"/>
  <c r="E27" i="98" s="1"/>
  <c r="I51" i="105"/>
  <c r="K51" i="105" s="1"/>
  <c r="I39" i="105"/>
  <c r="K39" i="105" s="1"/>
  <c r="I19" i="105"/>
  <c r="K19" i="105" s="1"/>
  <c r="I48" i="105"/>
  <c r="K48" i="105" s="1"/>
  <c r="I62" i="105"/>
  <c r="K62" i="105" s="1"/>
  <c r="I83" i="105"/>
  <c r="K83" i="105" s="1"/>
  <c r="I121" i="105"/>
  <c r="K121" i="105" s="1"/>
  <c r="I144" i="105"/>
  <c r="K144" i="105" s="1"/>
  <c r="I29" i="105"/>
  <c r="K29" i="105" s="1"/>
  <c r="I43" i="105"/>
  <c r="K43" i="105" s="1"/>
  <c r="I155" i="105"/>
  <c r="K155" i="105" s="1"/>
  <c r="I204" i="105"/>
  <c r="K204" i="105" s="1"/>
  <c r="I227" i="105"/>
  <c r="K227" i="105" s="1"/>
  <c r="I38" i="105"/>
  <c r="K38" i="105" s="1"/>
  <c r="I228" i="105"/>
  <c r="K228" i="105" s="1"/>
  <c r="I15" i="105"/>
  <c r="K15" i="105" s="1"/>
  <c r="I287" i="105"/>
  <c r="K287" i="105" s="1"/>
  <c r="I8" i="105"/>
  <c r="K8" i="105" s="1"/>
  <c r="I14" i="105"/>
  <c r="K14" i="105" s="1"/>
  <c r="I24" i="105"/>
  <c r="K24" i="105" s="1"/>
  <c r="I288" i="105"/>
  <c r="K288" i="105" s="1"/>
  <c r="I289" i="105"/>
  <c r="K289" i="105" s="1"/>
  <c r="I12" i="105"/>
  <c r="K12" i="105" s="1"/>
  <c r="I70" i="105"/>
  <c r="K70" i="105" s="1"/>
  <c r="I84" i="105"/>
  <c r="K84" i="105" s="1"/>
  <c r="I156" i="105"/>
  <c r="K156" i="105" s="1"/>
  <c r="I40" i="105"/>
  <c r="K40" i="105" s="1"/>
  <c r="I59" i="105"/>
  <c r="K59" i="105" s="1"/>
  <c r="I85" i="105"/>
  <c r="K85" i="105" s="1"/>
  <c r="I157" i="105"/>
  <c r="K157" i="105" s="1"/>
  <c r="I229" i="105"/>
  <c r="K229" i="105" s="1"/>
  <c r="I95" i="105"/>
  <c r="K95" i="105" s="1"/>
  <c r="I167" i="105"/>
  <c r="K167" i="105" s="1"/>
  <c r="I67" i="105"/>
  <c r="K67" i="105" s="1"/>
  <c r="I37" i="105"/>
  <c r="K37" i="105" s="1"/>
  <c r="I56" i="105"/>
  <c r="K56" i="105" s="1"/>
  <c r="I96" i="105"/>
  <c r="K96" i="105" s="1"/>
  <c r="I168" i="105"/>
  <c r="K168" i="105" s="1"/>
  <c r="I240" i="105"/>
  <c r="K240" i="105" s="1"/>
  <c r="I188" i="105"/>
  <c r="K188" i="105" s="1"/>
  <c r="I245" i="105"/>
  <c r="K245" i="105" s="1"/>
  <c r="I197" i="105"/>
  <c r="K197" i="105" s="1"/>
  <c r="I17" i="105"/>
  <c r="K17" i="105" s="1"/>
  <c r="I148" i="105"/>
  <c r="K148" i="105" s="1"/>
  <c r="I26" i="105"/>
  <c r="K26" i="105" s="1"/>
  <c r="E23" i="98" s="1"/>
  <c r="I45" i="105"/>
  <c r="K45" i="105" s="1"/>
  <c r="I72" i="105"/>
  <c r="K72" i="105" s="1"/>
  <c r="I97" i="105"/>
  <c r="K97" i="105" s="1"/>
  <c r="I169" i="105"/>
  <c r="K169" i="105" s="1"/>
  <c r="I241" i="105"/>
  <c r="K241" i="105" s="1"/>
  <c r="I9" i="105"/>
  <c r="K9" i="105" s="1"/>
  <c r="I16" i="105"/>
  <c r="K16" i="105" s="1"/>
  <c r="I34" i="105"/>
  <c r="K34" i="105" s="1"/>
  <c r="I53" i="105"/>
  <c r="K53" i="105" s="1"/>
  <c r="I107" i="105"/>
  <c r="K107" i="105" s="1"/>
  <c r="I179" i="105"/>
  <c r="K179" i="105" s="1"/>
  <c r="I251" i="105"/>
  <c r="K251" i="105" s="1"/>
  <c r="I23" i="105"/>
  <c r="K23" i="105" s="1"/>
  <c r="I42" i="105"/>
  <c r="K42" i="105" s="1"/>
  <c r="I250" i="105"/>
  <c r="K250" i="105" s="1"/>
  <c r="I154" i="105"/>
  <c r="K154" i="105" s="1"/>
  <c r="I130" i="105"/>
  <c r="K130" i="105" s="1"/>
  <c r="I94" i="105"/>
  <c r="K94" i="105" s="1"/>
  <c r="I225" i="105"/>
  <c r="K225" i="105" s="1"/>
  <c r="I201" i="105"/>
  <c r="K201" i="105" s="1"/>
  <c r="I93" i="105"/>
  <c r="K93" i="105" s="1"/>
  <c r="I248" i="105"/>
  <c r="K248" i="105" s="1"/>
  <c r="I140" i="105"/>
  <c r="K140" i="105" s="1"/>
  <c r="I80" i="105"/>
  <c r="K80" i="105" s="1"/>
  <c r="I259" i="105"/>
  <c r="K259" i="105" s="1"/>
  <c r="I151" i="105"/>
  <c r="K151" i="105" s="1"/>
  <c r="I234" i="105"/>
  <c r="K234" i="105" s="1"/>
  <c r="I233" i="105"/>
  <c r="K233" i="105" s="1"/>
  <c r="I221" i="105"/>
  <c r="K221" i="105" s="1"/>
  <c r="I209" i="105"/>
  <c r="K209" i="105" s="1"/>
  <c r="I232" i="105"/>
  <c r="K232" i="105" s="1"/>
  <c r="I220" i="105"/>
  <c r="K220" i="105" s="1"/>
  <c r="I207" i="105"/>
  <c r="K207" i="105" s="1"/>
  <c r="I195" i="105"/>
  <c r="K195" i="105" s="1"/>
  <c r="I183" i="105"/>
  <c r="K183" i="105" s="1"/>
  <c r="I159" i="105"/>
  <c r="K159" i="105" s="1"/>
  <c r="I206" i="105"/>
  <c r="K206" i="105" s="1"/>
  <c r="I182" i="105"/>
  <c r="K182" i="105" s="1"/>
  <c r="I170" i="105"/>
  <c r="K170" i="105" s="1"/>
  <c r="I158" i="105"/>
  <c r="K158" i="105" s="1"/>
  <c r="I18" i="105"/>
  <c r="K18" i="105" s="1"/>
  <c r="I61" i="105"/>
  <c r="K61" i="105" s="1"/>
  <c r="I108" i="105"/>
  <c r="K108" i="105" s="1"/>
  <c r="I180" i="105"/>
  <c r="K180" i="105" s="1"/>
  <c r="I252" i="105"/>
  <c r="K252" i="105" s="1"/>
  <c r="I31" i="105"/>
  <c r="K31" i="105" s="1"/>
  <c r="I50" i="105"/>
  <c r="K50" i="105" s="1"/>
  <c r="I181" i="105"/>
  <c r="K181" i="105" s="1"/>
  <c r="I253" i="105"/>
  <c r="K253" i="105" s="1"/>
  <c r="I298" i="105"/>
  <c r="K298" i="105" s="1"/>
  <c r="I214" i="105"/>
  <c r="K214" i="105" s="1"/>
  <c r="I202" i="105"/>
  <c r="K202" i="105" s="1"/>
  <c r="I142" i="105"/>
  <c r="K142" i="105" s="1"/>
  <c r="I118" i="105"/>
  <c r="K118" i="105" s="1"/>
  <c r="I106" i="105"/>
  <c r="K106" i="105" s="1"/>
  <c r="I285" i="105"/>
  <c r="K285" i="105" s="1"/>
  <c r="I249" i="105"/>
  <c r="K249" i="105" s="1"/>
  <c r="I153" i="105"/>
  <c r="K153" i="105" s="1"/>
  <c r="I141" i="105"/>
  <c r="K141" i="105" s="1"/>
  <c r="I71" i="105"/>
  <c r="K71" i="105" s="1"/>
  <c r="I284" i="105"/>
  <c r="K284" i="105" s="1"/>
  <c r="I272" i="105"/>
  <c r="K272" i="105" s="1"/>
  <c r="I200" i="105"/>
  <c r="K200" i="105" s="1"/>
  <c r="I164" i="105"/>
  <c r="K164" i="105" s="1"/>
  <c r="I104" i="105"/>
  <c r="K104" i="105" s="1"/>
  <c r="I283" i="105"/>
  <c r="K283" i="105" s="1"/>
  <c r="I223" i="105"/>
  <c r="K223" i="105" s="1"/>
  <c r="I127" i="105"/>
  <c r="K127" i="105" s="1"/>
  <c r="I91" i="105"/>
  <c r="K91" i="105" s="1"/>
  <c r="I282" i="105"/>
  <c r="K282" i="105" s="1"/>
  <c r="I162" i="105"/>
  <c r="K162" i="105" s="1"/>
  <c r="I150" i="105"/>
  <c r="K150" i="105" s="1"/>
  <c r="I114" i="105"/>
  <c r="K114" i="105" s="1"/>
  <c r="I281" i="105"/>
  <c r="K281" i="105" s="1"/>
  <c r="I257" i="105"/>
  <c r="K257" i="105" s="1"/>
  <c r="I185" i="105"/>
  <c r="K185" i="105" s="1"/>
  <c r="I173" i="105"/>
  <c r="K173" i="105" s="1"/>
  <c r="I89" i="105"/>
  <c r="K89" i="105" s="1"/>
  <c r="I77" i="105"/>
  <c r="K77" i="105" s="1"/>
  <c r="I280" i="105"/>
  <c r="K280" i="105" s="1"/>
  <c r="I268" i="105"/>
  <c r="K268" i="105" s="1"/>
  <c r="I112" i="105"/>
  <c r="K112" i="105" s="1"/>
  <c r="I279" i="105"/>
  <c r="K279" i="105" s="1"/>
  <c r="I231" i="105"/>
  <c r="K231" i="105" s="1"/>
  <c r="I147" i="105"/>
  <c r="K147" i="105" s="1"/>
  <c r="I111" i="105"/>
  <c r="K111" i="105" s="1"/>
  <c r="I278" i="105"/>
  <c r="K278" i="105" s="1"/>
  <c r="E39" i="98" s="1"/>
  <c r="I194" i="105"/>
  <c r="K194" i="105" s="1"/>
  <c r="I122" i="105"/>
  <c r="K122" i="105" s="1"/>
  <c r="I20" i="105"/>
  <c r="K20" i="105" s="1"/>
  <c r="I58" i="105"/>
  <c r="K58" i="105" s="1"/>
  <c r="I119" i="105"/>
  <c r="K119" i="105" s="1"/>
  <c r="I191" i="105"/>
  <c r="K191" i="105" s="1"/>
  <c r="I263" i="105"/>
  <c r="K263" i="105" s="1"/>
  <c r="I262" i="105"/>
  <c r="K262" i="105" s="1"/>
  <c r="I238" i="105"/>
  <c r="K238" i="105" s="1"/>
  <c r="I226" i="105"/>
  <c r="K226" i="105" s="1"/>
  <c r="I166" i="105"/>
  <c r="K166" i="105" s="1"/>
  <c r="I273" i="105"/>
  <c r="K273" i="105" s="1"/>
  <c r="I261" i="105"/>
  <c r="K261" i="105" s="1"/>
  <c r="I213" i="105"/>
  <c r="K213" i="105" s="1"/>
  <c r="I165" i="105"/>
  <c r="K165" i="105" s="1"/>
  <c r="I117" i="105"/>
  <c r="K117" i="105" s="1"/>
  <c r="I236" i="105"/>
  <c r="K236" i="105" s="1"/>
  <c r="I247" i="105"/>
  <c r="K247" i="105" s="1"/>
  <c r="I138" i="105"/>
  <c r="K138" i="105" s="1"/>
  <c r="I90" i="105"/>
  <c r="K90" i="105" s="1"/>
  <c r="I269" i="105"/>
  <c r="K269" i="105" s="1"/>
  <c r="I161" i="105"/>
  <c r="K161" i="105" s="1"/>
  <c r="I113" i="105"/>
  <c r="K113" i="105" s="1"/>
  <c r="I88" i="105"/>
  <c r="K88" i="105" s="1"/>
  <c r="I255" i="105"/>
  <c r="K255" i="105" s="1"/>
  <c r="I171" i="105"/>
  <c r="K171" i="105" s="1"/>
  <c r="I75" i="105"/>
  <c r="K75" i="105" s="1"/>
  <c r="I266" i="105"/>
  <c r="K266" i="105" s="1"/>
  <c r="I242" i="105"/>
  <c r="K242" i="105" s="1"/>
  <c r="I86" i="105"/>
  <c r="K86" i="105" s="1"/>
  <c r="I28" i="105"/>
  <c r="K28" i="105" s="1"/>
  <c r="I47" i="105"/>
  <c r="K47" i="105" s="1"/>
  <c r="I66" i="105"/>
  <c r="K66" i="105" s="1"/>
  <c r="I120" i="105"/>
  <c r="K120" i="105" s="1"/>
  <c r="I192" i="105"/>
  <c r="K192" i="105" s="1"/>
  <c r="I264" i="105"/>
  <c r="K264" i="105" s="1"/>
  <c r="I55" i="105"/>
  <c r="K55" i="105" s="1"/>
  <c r="I193" i="105"/>
  <c r="K193" i="105" s="1"/>
  <c r="I265" i="105"/>
  <c r="K265" i="105" s="1"/>
  <c r="I274" i="105"/>
  <c r="K274" i="105" s="1"/>
  <c r="I258" i="105"/>
  <c r="K258" i="105" s="1"/>
  <c r="I208" i="105"/>
  <c r="K208" i="105" s="1"/>
  <c r="I243" i="105"/>
  <c r="K243" i="105" s="1"/>
  <c r="I146" i="105"/>
  <c r="K146" i="105" s="1"/>
  <c r="I237" i="105"/>
  <c r="K237" i="105" s="1"/>
  <c r="I235" i="105"/>
  <c r="K235" i="105" s="1"/>
  <c r="I163" i="105"/>
  <c r="K163" i="105" s="1"/>
  <c r="I79" i="105"/>
  <c r="K79" i="105" s="1"/>
  <c r="I270" i="105"/>
  <c r="K270" i="105" s="1"/>
  <c r="I222" i="105"/>
  <c r="K222" i="105" s="1"/>
  <c r="I210" i="105"/>
  <c r="K210" i="105" s="1"/>
  <c r="I149" i="105"/>
  <c r="K149" i="105" s="1"/>
  <c r="I124" i="105"/>
  <c r="K124" i="105" s="1"/>
  <c r="I219" i="105"/>
  <c r="K219" i="105" s="1"/>
  <c r="I254" i="105"/>
  <c r="K254" i="105" s="1"/>
  <c r="I25" i="105"/>
  <c r="K25" i="105" s="1"/>
  <c r="I44" i="105"/>
  <c r="K44" i="105" s="1"/>
  <c r="I63" i="105"/>
  <c r="K63" i="105" s="1"/>
  <c r="I131" i="105"/>
  <c r="K131" i="105" s="1"/>
  <c r="I203" i="105"/>
  <c r="K203" i="105" s="1"/>
  <c r="I275" i="105"/>
  <c r="K275" i="105" s="1"/>
  <c r="I33" i="105"/>
  <c r="K33" i="105" s="1"/>
  <c r="I52" i="105"/>
  <c r="K52" i="105" s="1"/>
  <c r="I41" i="105"/>
  <c r="K41" i="105" s="1"/>
  <c r="I60" i="105"/>
  <c r="K60" i="105" s="1"/>
  <c r="I132" i="105"/>
  <c r="K132" i="105" s="1"/>
  <c r="I276" i="105"/>
  <c r="K276" i="105" s="1"/>
  <c r="I30" i="105"/>
  <c r="K30" i="105" s="1"/>
  <c r="I133" i="105"/>
  <c r="K133" i="105" s="1"/>
  <c r="I205" i="105"/>
  <c r="K205" i="105" s="1"/>
  <c r="I277" i="105"/>
  <c r="K277" i="105" s="1"/>
  <c r="I49" i="105"/>
  <c r="K49" i="105" s="1"/>
  <c r="I68" i="105"/>
  <c r="K68" i="105" s="1"/>
  <c r="I143" i="105"/>
  <c r="K143" i="105" s="1"/>
  <c r="I215" i="105"/>
  <c r="K215" i="105" s="1"/>
  <c r="I286" i="105"/>
  <c r="K286" i="105" s="1"/>
  <c r="I297" i="105"/>
  <c r="K297" i="105" s="1"/>
  <c r="I129" i="105"/>
  <c r="K129" i="105" s="1"/>
  <c r="I105" i="105"/>
  <c r="K105" i="105" s="1"/>
  <c r="I212" i="105"/>
  <c r="K212" i="105" s="1"/>
  <c r="I116" i="105"/>
  <c r="K116" i="105" s="1"/>
  <c r="I295" i="105"/>
  <c r="K295" i="105" s="1"/>
  <c r="I271" i="105"/>
  <c r="K271" i="105" s="1"/>
  <c r="I175" i="105"/>
  <c r="K175" i="105" s="1"/>
  <c r="I246" i="105"/>
  <c r="K246" i="105" s="1"/>
  <c r="I102" i="105"/>
  <c r="K102" i="105" s="1"/>
  <c r="I244" i="105"/>
  <c r="K244" i="105" s="1"/>
  <c r="I230" i="105"/>
  <c r="K230" i="105" s="1"/>
  <c r="I110" i="105"/>
  <c r="K110" i="105" s="1"/>
  <c r="I57" i="105"/>
  <c r="K57" i="105" s="1"/>
  <c r="I78" i="105"/>
  <c r="K78" i="105" s="1"/>
  <c r="I125" i="105"/>
  <c r="K125" i="105" s="1"/>
  <c r="I74" i="105"/>
  <c r="K74" i="105" s="1"/>
  <c r="I27" i="105"/>
  <c r="K27" i="105" s="1"/>
  <c r="I65" i="105"/>
  <c r="K65" i="105" s="1"/>
  <c r="I216" i="105"/>
  <c r="K216" i="105" s="1"/>
  <c r="I128" i="105"/>
  <c r="K128" i="105" s="1"/>
  <c r="I115" i="105"/>
  <c r="K115" i="105" s="1"/>
  <c r="I186" i="105"/>
  <c r="K186" i="105" s="1"/>
  <c r="I174" i="105"/>
  <c r="K174" i="105" s="1"/>
  <c r="I101" i="105"/>
  <c r="K101" i="105" s="1"/>
  <c r="I100" i="105"/>
  <c r="K100" i="105" s="1"/>
  <c r="I190" i="105"/>
  <c r="K190" i="105" s="1"/>
  <c r="I82" i="105"/>
  <c r="K82" i="105" s="1"/>
  <c r="I189" i="105"/>
  <c r="K189" i="105" s="1"/>
  <c r="I177" i="105"/>
  <c r="K177" i="105" s="1"/>
  <c r="I81" i="105"/>
  <c r="K81" i="105" s="1"/>
  <c r="I260" i="105"/>
  <c r="K260" i="105" s="1"/>
  <c r="I176" i="105"/>
  <c r="K176" i="105" s="1"/>
  <c r="I152" i="105"/>
  <c r="K152" i="105" s="1"/>
  <c r="I211" i="105"/>
  <c r="K211" i="105" s="1"/>
  <c r="I199" i="105"/>
  <c r="K199" i="105" s="1"/>
  <c r="I198" i="105"/>
  <c r="K198" i="105" s="1"/>
  <c r="I126" i="105"/>
  <c r="K126" i="105" s="1"/>
  <c r="I137" i="105"/>
  <c r="K137" i="105" s="1"/>
  <c r="I256" i="105"/>
  <c r="K256" i="105" s="1"/>
  <c r="I196" i="105"/>
  <c r="K196" i="105" s="1"/>
  <c r="I184" i="105"/>
  <c r="K184" i="105" s="1"/>
  <c r="I172" i="105"/>
  <c r="K172" i="105" s="1"/>
  <c r="I160" i="105"/>
  <c r="K160" i="105" s="1"/>
  <c r="I136" i="105"/>
  <c r="K136" i="105" s="1"/>
  <c r="I267" i="105"/>
  <c r="K267" i="105" s="1"/>
  <c r="I135" i="105"/>
  <c r="K135" i="105" s="1"/>
  <c r="I99" i="105"/>
  <c r="K99" i="105" s="1"/>
  <c r="I87" i="105"/>
  <c r="K87" i="105" s="1"/>
  <c r="I218" i="105"/>
  <c r="K218" i="105" s="1"/>
  <c r="I134" i="105"/>
  <c r="K134" i="105" s="1"/>
  <c r="I98" i="105"/>
  <c r="K98" i="105" s="1"/>
  <c r="I35" i="105"/>
  <c r="K35" i="105" s="1"/>
  <c r="I54" i="105"/>
  <c r="K54" i="105" s="1"/>
  <c r="I73" i="105"/>
  <c r="K73" i="105" s="1"/>
  <c r="I145" i="105"/>
  <c r="K145" i="105" s="1"/>
  <c r="I217" i="105"/>
  <c r="K217" i="105" s="1"/>
  <c r="I290" i="105"/>
  <c r="K290" i="105" s="1"/>
  <c r="I291" i="105"/>
  <c r="K291" i="105" s="1"/>
  <c r="I76" i="105"/>
  <c r="K76" i="105" s="1"/>
  <c r="I292" i="105"/>
  <c r="K292" i="105" s="1"/>
  <c r="I293" i="105"/>
  <c r="K293" i="105" s="1"/>
  <c r="I294" i="105"/>
  <c r="K294" i="105" s="1"/>
  <c r="I103" i="105"/>
  <c r="K103" i="105" s="1"/>
  <c r="I139" i="105"/>
  <c r="K139" i="105" s="1"/>
  <c r="I92" i="105"/>
  <c r="K92" i="105" s="1"/>
  <c r="I224" i="105"/>
  <c r="K224" i="105" s="1"/>
  <c r="I296" i="105"/>
  <c r="K296" i="105" s="1"/>
  <c r="E45" i="98" l="1"/>
  <c r="E44" i="98"/>
  <c r="E30" i="98"/>
  <c r="E43" i="98"/>
  <c r="E37" i="98"/>
  <c r="E38" i="98"/>
  <c r="E20" i="98"/>
  <c r="E17" i="98"/>
  <c r="E41" i="98"/>
  <c r="E42" i="98"/>
  <c r="E40" i="98"/>
  <c r="E21" i="98"/>
  <c r="E36" i="98"/>
  <c r="E14" i="98"/>
  <c r="E10" i="98"/>
  <c r="E11" i="98"/>
  <c r="E35" i="98"/>
  <c r="E12" i="98"/>
  <c r="E15" i="98"/>
  <c r="E16" i="98"/>
  <c r="E18" i="98"/>
  <c r="E19" i="98"/>
  <c r="E22" i="98"/>
  <c r="E34" i="98"/>
  <c r="E24" i="98"/>
  <c r="E28" i="98"/>
  <c r="E29" i="98"/>
  <c r="E31" i="98"/>
  <c r="E32" i="98"/>
  <c r="E33" i="98"/>
  <c r="E25" i="98"/>
  <c r="E26" i="9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2000000}" keepAlive="1" name="ModelConnection_ExternalData_22" description="Data Model" type="5" refreshedVersion="8" minRefreshableVersion="5" saveData="1">
    <dbPr connection="Data Model Connection" command="DocsIstrateegia1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5000000}" keepAlive="1" name="ModelConnection_ExternalData_61" description="Data Model" type="5" refreshedVersion="8" minRefreshableVersion="5" saveData="1">
    <dbPr connection="Data Model Connection" command="InitiativesOwner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00000000-0015-0000-FFFF-FFFF06000000}" name="Query - InitiativesOwners" description="Connection to the 'InitiativesOwners' query in the workbook." type="100" refreshedVersion="8" minRefreshableVersion="5">
    <extLst>
      <ext xmlns:x15="http://schemas.microsoft.com/office/spreadsheetml/2010/11/main" uri="{DE250136-89BD-433C-8126-D09CA5730AF9}">
        <x15:connection id="440df6a1-475e-4fca-962e-685228618eeb"/>
      </ext>
    </extLst>
  </connection>
  <connection id="4" xr16:uid="{00000000-0015-0000-FFFF-FFFF07000000}" name="Query - InitiativesOwnersVer" description="Connection to the 'InitiativesOwnersVer' query in the workbook." type="100" refreshedVersion="8" minRefreshableVersion="5">
    <extLst>
      <ext xmlns:x15="http://schemas.microsoft.com/office/spreadsheetml/2010/11/main" uri="{DE250136-89BD-433C-8126-D09CA5730AF9}">
        <x15:connection id="5084eada-7f0e-4547-b0b2-12a811dfe748"/>
      </ext>
    </extLst>
  </connection>
  <connection id="5" xr16:uid="{00000000-0015-0000-FFFF-FFFF08000000}" name="Query - InitiativesProgramsWithoutGE" description="Connection to the 'InitiativesProgramsWithoutGE' query in the workbook." type="100" refreshedVersion="8" minRefreshableVersion="5">
    <extLst>
      <ext xmlns:x15="http://schemas.microsoft.com/office/spreadsheetml/2010/11/main" uri="{DE250136-89BD-433C-8126-D09CA5730AF9}">
        <x15:connection id="02a9826e-0b6a-4dbe-a82d-9da19a6d9f12"/>
      </ext>
    </extLst>
  </connection>
  <connection id="6" xr16:uid="{00000000-0015-0000-FFFF-FFFF09000000}" name="Query - InitiativesProgramsWithoutGEVer" description="Connection to the 'InitiativesProgramsWithoutGEVer' query in the workbook." type="100" refreshedVersion="8" minRefreshableVersion="5">
    <extLst>
      <ext xmlns:x15="http://schemas.microsoft.com/office/spreadsheetml/2010/11/main" uri="{DE250136-89BD-433C-8126-D09CA5730AF9}">
        <x15:connection id="b974854b-a7fb-4172-b4d4-f4e0109b1002"/>
      </ext>
    </extLst>
  </connection>
  <connection id="7" xr16:uid="{2AF81610-B3A2-4E28-95F6-9060772DEAAD}" name="Query - IstrateegiaKPIs" description="Connection to the 'IstrateegiaKPIs' query in the workbook." type="100" refreshedVersion="8" minRefreshableVersion="5">
    <extLst>
      <ext xmlns:x15="http://schemas.microsoft.com/office/spreadsheetml/2010/11/main" uri="{DE250136-89BD-433C-8126-D09CA5730AF9}">
        <x15:connection id="cf7c4243-530b-459c-9340-43be73a6e55c"/>
      </ext>
    </extLst>
  </connection>
  <connection id="8" xr16:uid="{0E2D756C-0783-45A1-9D20-87A6A8CB764F}" name="Query - IstrateegiaStrategicDirectionsAudience" description="Connection to the 'IstrateegiaStrategicDirectionsAudience' query in the workbook." type="100" refreshedVersion="8" minRefreshableVersion="5">
    <extLst>
      <ext xmlns:x15="http://schemas.microsoft.com/office/spreadsheetml/2010/11/main" uri="{DE250136-89BD-433C-8126-D09CA5730AF9}">
        <x15:connection id="fdd0f9bf-dbd7-4165-91af-eaec9f73642e"/>
      </ext>
    </extLst>
  </connection>
  <connection id="9" xr16:uid="{DF1BAFF5-C04C-4FD7-B89A-A7CC9134E173}" name="Query - PBIVer" description="Connection to the 'PBIVer' query in the workbook." type="100" refreshedVersion="8" minRefreshableVersion="5">
    <extLst>
      <ext xmlns:x15="http://schemas.microsoft.com/office/spreadsheetml/2010/11/main" uri="{DE250136-89BD-433C-8126-D09CA5730AF9}">
        <x15:connection id="863d21b7-0c96-462a-8fc3-d1544ab35b26"/>
      </ext>
    </extLst>
  </connection>
  <connection id="10" xr16:uid="{00000000-0015-0000-FFFF-FFFF0A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<sst xmlns="http://schemas.openxmlformats.org/spreadsheetml/2006/main" count="1712" uniqueCount="755">
  <si>
    <t>المرافق والمساجد</t>
  </si>
  <si>
    <t>رمز النموذج</t>
  </si>
  <si>
    <t>رقم الإصدار</t>
  </si>
  <si>
    <t>تاريخ آخر تحديث</t>
  </si>
  <si>
    <t>بيانات النطاق المكاني للمرفق</t>
  </si>
  <si>
    <t>اسم وتصنيف المرفق</t>
  </si>
  <si>
    <t>بيانات الموقع الجغرافي للمرفق</t>
  </si>
  <si>
    <t>مساحة المرفق (م2)</t>
  </si>
  <si>
    <t>سعة المواقف وعدد الأبواب والنوافذ</t>
  </si>
  <si>
    <t>عدد صفوف الصلاة</t>
  </si>
  <si>
    <t>الطاقة الاستيعابية للمرفق من المصلين / المصليات</t>
  </si>
  <si>
    <t>عدد ونوعية دورات مياه المرفق</t>
  </si>
  <si>
    <t>عدد مواضئ المرفق</t>
  </si>
  <si>
    <t>عدد مصاحف المرفق</t>
  </si>
  <si>
    <t>عدد حاملات مصاحف المرفق</t>
  </si>
  <si>
    <t>عدد دواليب مصاحف المرفق</t>
  </si>
  <si>
    <t>عدد كراسي المرفق</t>
  </si>
  <si>
    <t>بيانات السكن المرتبط بالمرفق</t>
  </si>
  <si>
    <t>خانة يجب تعبئتها</t>
  </si>
  <si>
    <t>م</t>
  </si>
  <si>
    <t>المنطقة الإدارية</t>
  </si>
  <si>
    <t>رمز المدينة</t>
  </si>
  <si>
    <t>المدينة</t>
  </si>
  <si>
    <t>الحي</t>
  </si>
  <si>
    <t>رمز تصنيف المرفق</t>
  </si>
  <si>
    <t>تصنيف المرفق</t>
  </si>
  <si>
    <t>رمز المرفق</t>
  </si>
  <si>
    <t>اسم المرفق</t>
  </si>
  <si>
    <t>Facility Name</t>
  </si>
  <si>
    <t>تاريخ إنشاء المرفق</t>
  </si>
  <si>
    <t>رابط الوصول للمرفق</t>
  </si>
  <si>
    <t>دائرة العرض (Latitude - N)</t>
  </si>
  <si>
    <t>خط الطول (Longitude - E)</t>
  </si>
  <si>
    <t>المساحة الكلية للمرفق (م2)</t>
  </si>
  <si>
    <t>مساحة مصلى الرجال (م2)</t>
  </si>
  <si>
    <t>مساحة مصلى النساء (م2)</t>
  </si>
  <si>
    <t>سعة مواقف السيارات (سيارة)</t>
  </si>
  <si>
    <t>عدد الأبواب</t>
  </si>
  <si>
    <t>عدد النوافذ</t>
  </si>
  <si>
    <t>إجمالي عدد الصفوف</t>
  </si>
  <si>
    <t>عدد صفوف الرجال</t>
  </si>
  <si>
    <t>عدد صفوف النساء</t>
  </si>
  <si>
    <t>إجمالي سعة المرفق من المصلين / المصليات</t>
  </si>
  <si>
    <t>سعة المرفق من المصلين</t>
  </si>
  <si>
    <t>سعة المرفق من المصليات</t>
  </si>
  <si>
    <t>إجمالي عدد دورات المياه</t>
  </si>
  <si>
    <t>عدد دورات مياه المعاقين / المعاقات</t>
  </si>
  <si>
    <t>إجمالي عدد دورات مياه الرجال</t>
  </si>
  <si>
    <t>عدد دورات مياه المعاقين من الرجال</t>
  </si>
  <si>
    <t>إجمالي عدد دورات مياه النساء</t>
  </si>
  <si>
    <t>عدد دورات مياه المعاقات من النساء</t>
  </si>
  <si>
    <t>إجمالي عدد المواضئ</t>
  </si>
  <si>
    <t>عدد مواضئ الرجال</t>
  </si>
  <si>
    <t>عدد مواضئ النساء</t>
  </si>
  <si>
    <t>إجمالي عدد المصاحف</t>
  </si>
  <si>
    <t>عدد مصاحف الرجال</t>
  </si>
  <si>
    <t>عدد مصاحف النساء</t>
  </si>
  <si>
    <t>إجمالي عدد حاملات المصاحف</t>
  </si>
  <si>
    <t>عدد حاملات المصاحف للرجال</t>
  </si>
  <si>
    <t>عدد حاملات المصاحف للنساء</t>
  </si>
  <si>
    <t>إجمالي عدد دواليب المصاحف</t>
  </si>
  <si>
    <t>عدد دواليب المصاحف للرجال</t>
  </si>
  <si>
    <t>عدد دواليب المصاحف للنساء</t>
  </si>
  <si>
    <t>إجمالي عدد الكراسي</t>
  </si>
  <si>
    <t>عدد الكراسي للرجال</t>
  </si>
  <si>
    <t>عدد الكراسي للنساء</t>
  </si>
  <si>
    <t>يوجد سكن للإمام؟</t>
  </si>
  <si>
    <t>يوجد سكن للمؤذن؟</t>
  </si>
  <si>
    <t>يوجد سكن للخادم؟</t>
  </si>
  <si>
    <t>خانة تعبأ أوتوماتيكيًّا</t>
  </si>
  <si>
    <t>الدمام</t>
  </si>
  <si>
    <t>البادية</t>
  </si>
  <si>
    <t>جامع</t>
  </si>
  <si>
    <t>جامع الشيخ علي بن إبراهيم المجدوعي بالدمام</t>
  </si>
  <si>
    <t>Sheikh Ali bin Ibrahim Almajdouie Grand Mosque – Dammam</t>
  </si>
  <si>
    <t>https://maps.app.goo.gl/w3H1Y6Gj3zSb7cid7</t>
  </si>
  <si>
    <t>خانة لا يجب تعبئتها</t>
  </si>
  <si>
    <t>الفيصلية</t>
  </si>
  <si>
    <t>جامع الشيخ صالح بن عبد الله المجدوعي بالدمام</t>
  </si>
  <si>
    <t>Sheikh Saleh bin Abdullah Almajdouie Grand Mosque – Dammam</t>
  </si>
  <si>
    <t>https://maps.app.goo.gl/FJS3Envzf2MpbXbx6</t>
  </si>
  <si>
    <t>خانة بحاجة لأتمتة</t>
  </si>
  <si>
    <t>هجر</t>
  </si>
  <si>
    <t>جامع أم عبد الله المجدوعي بالدمام</t>
  </si>
  <si>
    <t>Umm Abdullah Almajdouie Grand Mosque – Dammam</t>
  </si>
  <si>
    <t>https://maps.app.goo.gl/nzdcukt2gqxozZMb8</t>
  </si>
  <si>
    <t>خانة بحاجة لمراجعة</t>
  </si>
  <si>
    <t>مكة المكرمة</t>
  </si>
  <si>
    <t>بطحاء قريش</t>
  </si>
  <si>
    <t>جامع فكرة بنت سعيد المجدوعي بمكة المكرمة</t>
  </si>
  <si>
    <t>Fikrah bint Saeed Almajdouie Grand Mosque – Makkah</t>
  </si>
  <si>
    <t>https://maps.app.goo.gl/XdS5PwrkE88fGkMF7</t>
  </si>
  <si>
    <t>الخبر</t>
  </si>
  <si>
    <t>البستان</t>
  </si>
  <si>
    <t>مسجد</t>
  </si>
  <si>
    <t>مسجد والدة إبراهيم المجدوعي بالخبر</t>
  </si>
  <si>
    <t>Mother of Ibrahim Almajdouie Mosque – Khobar</t>
  </si>
  <si>
    <t>https://maps.app.goo.gl/eHzCHL5YDiAHdHVw8</t>
  </si>
  <si>
    <t>مسجد أم عمر المجدوعي بالدمام</t>
  </si>
  <si>
    <t>Umm Omar Almajdouie Mosque – Dammam</t>
  </si>
  <si>
    <t>https://maps.app.goo.gl/BZqNeRqtzghnY4CE6</t>
  </si>
  <si>
    <t>مدينة العمال</t>
  </si>
  <si>
    <t>مسجد الباقيات الصالحات بالدمام</t>
  </si>
  <si>
    <t>Albaqiyat Alsalihat Mosque – Dammam</t>
  </si>
  <si>
    <t>https://maps.app.goo.gl/GQbKT1esvV3KuqDP7</t>
  </si>
  <si>
    <t>بلجرشي</t>
  </si>
  <si>
    <t>السلمية</t>
  </si>
  <si>
    <t>مسجد والدة مجدوع المجدوعي ببلجرشي</t>
  </si>
  <si>
    <t>Mother of Majdouie Almajdouie Mosque – Baljurashi</t>
  </si>
  <si>
    <t>https://maps.app.goo.gl/7RLcoxhSM6agvAyn9</t>
  </si>
  <si>
    <t>الأنوار</t>
  </si>
  <si>
    <t>جامع سعيد بن عبد الله المجدوعي بالدمام (المجمع السكني)</t>
  </si>
  <si>
    <t>Saeed bin Abdullah Almajdouie Grand Mosque – Dammam (Residential Compound)</t>
  </si>
  <si>
    <t>https://maps.app.goo.gl/pB2Aoe8bonsowb4u6</t>
  </si>
  <si>
    <t>مسجد مجمع المجدوعي السكني بالدمام</t>
  </si>
  <si>
    <t>Almajdouie Residential Compound Mosque – Dammam</t>
  </si>
  <si>
    <t>https://maps.app.goo.gl/q4y63STQigjb5nSYA</t>
  </si>
  <si>
    <t>الجبيل</t>
  </si>
  <si>
    <t>الصناعية البلد</t>
  </si>
  <si>
    <t>جامع المجدوعي بالجبيل (المجمع السكني)</t>
  </si>
  <si>
    <t>Almajdouie Grand Mosque – Jubail (Residential Compound)</t>
  </si>
  <si>
    <t>https://goo.gl/maps/d2Twiv3MwhJgcLou7</t>
  </si>
  <si>
    <t>جدة</t>
  </si>
  <si>
    <t>الخُمرة</t>
  </si>
  <si>
    <t>جامع حليمة بنت سعيد المجدوعي بجدة (المجمع السكني)</t>
  </si>
  <si>
    <t>Halimah bint Saeed Almajdouie Grand Mosque – Jeddah (Residential Compound)</t>
  </si>
  <si>
    <t>https://goo.gl/maps/WkEXQXXNq3jcVFAP6</t>
  </si>
  <si>
    <t>مكتب</t>
  </si>
  <si>
    <t>مكتب مؤسسة المجدوعي الخيرية بالدمام</t>
  </si>
  <si>
    <t>Almajdouie Charity Foundation Office – Dammam</t>
  </si>
  <si>
    <t>https://goo.gl/maps/dJrxskXYSPmfEFmb9</t>
  </si>
  <si>
    <t>ينبع</t>
  </si>
  <si>
    <t>الصناعية</t>
  </si>
  <si>
    <t>مصلى</t>
  </si>
  <si>
    <t>مصلى مجمع المجدوعي السكني بينبع</t>
  </si>
  <si>
    <t>Almajdouie Residential Compound Prayer Room – Yanbu</t>
  </si>
  <si>
    <t>https://goo.gl/maps/7xpu6L1NSiFUnvcX9</t>
  </si>
  <si>
    <t>القادسية</t>
  </si>
  <si>
    <t>مسجد مجمع المجدوعي التجاري بالدمام</t>
  </si>
  <si>
    <t>Almajdouie Commercial Compound Mosque – Dammam</t>
  </si>
  <si>
    <t>https://goo.gl/maps/MsBCfdQBEf4msFs29</t>
  </si>
  <si>
    <t>الريث</t>
  </si>
  <si>
    <t>الرين خطوة العين</t>
  </si>
  <si>
    <t>جامع الشيخ صالح بن عبد الله المجدوعي بجازان</t>
  </si>
  <si>
    <t>Sheikh Saleh bin Abdullah Almajdouie Grand Mosque – Jazan</t>
  </si>
  <si>
    <t>https://maps.app.goo.gl/d8Evn8xeJAJNLVeX8</t>
  </si>
  <si>
    <t>اللحِجة</t>
  </si>
  <si>
    <t>جامع عبد الله بن علي المجدوعي بجازان</t>
  </si>
  <si>
    <t>Abdullah bin Ali Almajdouie Grand Mosque – Jazan</t>
  </si>
  <si>
    <t>https://maps.app.goo.gl/i2yc4iw3LnPiv5dj8?g_st=aw</t>
  </si>
  <si>
    <t>صلاصل</t>
  </si>
  <si>
    <t>طريق الرياض</t>
  </si>
  <si>
    <t>مسجد مزرعة الشيخ علي المجدوعي بصلاصل</t>
  </si>
  <si>
    <t>Sheikh Ali Almajdouie Farm Mosque – Salasil</t>
  </si>
  <si>
    <t>https://goo.gl/maps/hSCKSjG38hEdnQT86</t>
  </si>
  <si>
    <t>مدرسة</t>
  </si>
  <si>
    <t>مدرسة أم عبد الله المجدوعي النسائية بالدمام</t>
  </si>
  <si>
    <t>Umm Abdullah Almajdouie Women's Quran School – Dammam</t>
  </si>
  <si>
    <t>https://maps.app.goo.gl/9QaYPg2Bbqc6Qtz77</t>
  </si>
  <si>
    <t>روضة أم عبد الله المجدوعي التعليمية بالدمام</t>
  </si>
  <si>
    <t>Umm Abdullah Almajdouie Kindergarten – Dammam</t>
  </si>
  <si>
    <t>https://maps.app.goo.gl/4CXAHH8L5Ts3fyMa7</t>
  </si>
  <si>
    <t>مدرسة فكرة بنت سعيد المجدوعي بمكة المكرمة</t>
  </si>
  <si>
    <t>Fikrah bint Saeed Almajdouie School – Makkah</t>
  </si>
  <si>
    <t>https://goo.gl/maps/Awn8DGjFsMfpGtQE7</t>
  </si>
  <si>
    <t>المدينة الصناعية الثانية (طريق بقيق)</t>
  </si>
  <si>
    <t>مسجد فاطمة بنت علي المجدوعي بالدمام</t>
  </si>
  <si>
    <t>Fatimah bint Ali Almajdouie Mosque – Dammam</t>
  </si>
  <si>
    <t>https://maps.app.goo.gl/bW3bGn721dbPQis2A</t>
  </si>
  <si>
    <t>جامع مجمع المجدوعي للصناعات الحديدية</t>
  </si>
  <si>
    <t>Almajdouie Steel Industries Grand Mosque – Dammam</t>
  </si>
  <si>
    <t>https://maps.app.goo.gl/JudoaxkYJdvaVbNC7</t>
  </si>
  <si>
    <t>البساتين</t>
  </si>
  <si>
    <t>مسجد إبراهيم المجدوعي بالدمام (جمعية إيفاء)</t>
  </si>
  <si>
    <t>Ibrahim Almajdouie Mosque (EIFA Association) – Dammam</t>
  </si>
  <si>
    <t>https://maps.app.goo.gl/xG4HdA14uDbKUvgH7</t>
  </si>
  <si>
    <t>مصلى معرض هيونداي الرئيسي بالدمام</t>
  </si>
  <si>
    <t>Hyundai Main Showroom Prayer Room – Dammam</t>
  </si>
  <si>
    <t>https://goo.gl/maps/sTumewzEs6nS5YGx7</t>
  </si>
  <si>
    <t>مصلى برج المجدوعي بالدمام</t>
  </si>
  <si>
    <t>Almajdouie Tower Prayer Room – Dammam</t>
  </si>
  <si>
    <t>https://goo.gl/maps/euMxm5NdcUob8ERr8</t>
  </si>
  <si>
    <t>مصلى برج مجد للأعمال بالخبر</t>
  </si>
  <si>
    <t>Majd Business Tower Prayer Room – Khobar</t>
  </si>
  <si>
    <t>https://maps.app.goo.gl/ByUy5p16bnudkFNK7</t>
  </si>
  <si>
    <t>طيبة</t>
  </si>
  <si>
    <t>مصلى برج مجد سكوير بالجبيل</t>
  </si>
  <si>
    <t>Majd Square Tower Prayer Room – Jubail</t>
  </si>
  <si>
    <t>https://goo.gl/maps/U62hy95ihTSQSCRY6</t>
  </si>
  <si>
    <t>مسجد ساحة المجدوعي بالجبيل</t>
  </si>
  <si>
    <t>Almajdouie Plaza Mosque – Jubail</t>
  </si>
  <si>
    <t>https://goo.gl/maps/QfvQtsnkq8e5Bf3t8</t>
  </si>
  <si>
    <t>البيضاء</t>
  </si>
  <si>
    <t>طريق أبو حدرية</t>
  </si>
  <si>
    <t>مسجد مزرعة الشيخ علي المجدوعي بالبيضاء (خاص)</t>
  </si>
  <si>
    <t>Sheikh Ali Almajdouie Farm Mosque – Al-Bayda (Private)</t>
  </si>
  <si>
    <t>https://goo.gl/maps/7EmcwvX3cZKNVuE87</t>
  </si>
  <si>
    <t>البغدادية الغربية</t>
  </si>
  <si>
    <t>مصلى فرع شركة المجدوعي القابضة بجدة</t>
  </si>
  <si>
    <t>Almajdouie Holding Branch Prayer Room – Jeddah</t>
  </si>
  <si>
    <t>https://goo.gl/maps/CNmMgj3ZUkxdSHD1A</t>
  </si>
  <si>
    <t>الشطِيبة</t>
  </si>
  <si>
    <t>جامع فكرة بنت سعيد المجدوعي ببلجرشي (منتجع إكرام المسنين)</t>
  </si>
  <si>
    <t>Fikrah bint Saeed Almajdouie Grand Mosque – Baljurashi (Elderly Care Resort)</t>
  </si>
  <si>
    <t>https://maps.app.goo.gl/trfN7yjrTvZUeu6m9</t>
  </si>
  <si>
    <t>الرحيق</t>
  </si>
  <si>
    <t>جامع سعيد بن عبد الله المجدوعي ببلجرشي</t>
  </si>
  <si>
    <t>Saeed bin Abdullah Almajdouie Grand Mosque – Baljurashi</t>
  </si>
  <si>
    <t>مخطط الزايدي</t>
  </si>
  <si>
    <t>جامع الشيخ علي بن إبراهيم المجدوعي بمكة المكرمة</t>
  </si>
  <si>
    <t>Sheikh Ali bin Ibrahim Almajdouie Grand Mosque – Makkah</t>
  </si>
  <si>
    <t>https://goo.gl/maps/TwtRyF99AQ5CC49J6</t>
  </si>
  <si>
    <t>الشرائع</t>
  </si>
  <si>
    <t>جامع إبراهيم بن صالح المجدوعي بمكة المكرمة</t>
  </si>
  <si>
    <t>Ibrahim bin Saleh Almajdouie Grand Mosque – Makkah</t>
  </si>
  <si>
    <t>https://maps.app.goo.gl/952e1mGrhATxbs1d8</t>
  </si>
  <si>
    <t>جامع أم عبد الله المجدوعي بمكة المكرمة</t>
  </si>
  <si>
    <t>Umm Abdullah Almajdouie Grand Mosque – Makkah</t>
  </si>
  <si>
    <t>https://maps.app.goo.gl/9DqbfzA9HYTnNEgK7</t>
  </si>
  <si>
    <t>مناطق ومدن المملكة العربية السعودية</t>
  </si>
  <si>
    <t>المناطق الإدارية - المملكة العربية السعودية</t>
  </si>
  <si>
    <t>المناطق الإدارية والمدن - المملكة العربية السعودية</t>
  </si>
  <si>
    <t>مصفوفة المناطق الإدارية والمدن - المملكة العربية السعودية</t>
  </si>
  <si>
    <t>رمز المنطقة الإدارية</t>
  </si>
  <si>
    <t>عاصمة المنطقة الإدارية</t>
  </si>
  <si>
    <t>منطقة الرياض</t>
  </si>
  <si>
    <t>منطقة مكة المكرمة</t>
  </si>
  <si>
    <t>المنطقة الشرقية</t>
  </si>
  <si>
    <t>منطقة المدينة المنورة</t>
  </si>
  <si>
    <t>منطقة عسير</t>
  </si>
  <si>
    <t>منطقة جازان</t>
  </si>
  <si>
    <t>منطقة القصيم</t>
  </si>
  <si>
    <t>منطقة تبوك</t>
  </si>
  <si>
    <t>منطقة حائل</t>
  </si>
  <si>
    <t>منطقة الجوف</t>
  </si>
  <si>
    <t>منطقة نجران</t>
  </si>
  <si>
    <t>منطقة الحدود الشمالية</t>
  </si>
  <si>
    <t>منطقة الباحة</t>
  </si>
  <si>
    <t>الرياض</t>
  </si>
  <si>
    <t>المدينة المنورة</t>
  </si>
  <si>
    <t>أبها</t>
  </si>
  <si>
    <t>جازان</t>
  </si>
  <si>
    <t>تبوك</t>
  </si>
  <si>
    <t>بريدة</t>
  </si>
  <si>
    <t>الطائف</t>
  </si>
  <si>
    <t>حائل</t>
  </si>
  <si>
    <t>خميس مشيط</t>
  </si>
  <si>
    <t>سكاكا</t>
  </si>
  <si>
    <t>نجران</t>
  </si>
  <si>
    <t>الهفوف</t>
  </si>
  <si>
    <t>عرعر</t>
  </si>
  <si>
    <t>الباحة</t>
  </si>
  <si>
    <t>حفر الباطن</t>
  </si>
  <si>
    <t>المبرز</t>
  </si>
  <si>
    <t>السيح</t>
  </si>
  <si>
    <t>عنيزة</t>
  </si>
  <si>
    <t>الحوية</t>
  </si>
  <si>
    <t>القريات</t>
  </si>
  <si>
    <t>الظهران</t>
  </si>
  <si>
    <t>تاروت</t>
  </si>
  <si>
    <t>بيشة</t>
  </si>
  <si>
    <t>الرس</t>
  </si>
  <si>
    <t>محايل عسير</t>
  </si>
  <si>
    <t>شرورة</t>
  </si>
  <si>
    <t>القطيف</t>
  </si>
  <si>
    <t>الدوادمي</t>
  </si>
  <si>
    <t>سيهات</t>
  </si>
  <si>
    <t>أحد رفيدة</t>
  </si>
  <si>
    <t>الخفجي</t>
  </si>
  <si>
    <t>طبرجل</t>
  </si>
  <si>
    <t>وادي الدواسر</t>
  </si>
  <si>
    <t>ينبع الصناعية</t>
  </si>
  <si>
    <t>رابغ</t>
  </si>
  <si>
    <t>صبيا</t>
  </si>
  <si>
    <t>المجمعة</t>
  </si>
  <si>
    <t>بحرة</t>
  </si>
  <si>
    <t>أبو عريش</t>
  </si>
  <si>
    <t>الزلفي</t>
  </si>
  <si>
    <t>رفحاء</t>
  </si>
  <si>
    <t>الدرعية</t>
  </si>
  <si>
    <t>طريف</t>
  </si>
  <si>
    <t>رأس تنورة</t>
  </si>
  <si>
    <t>المزاحمية</t>
  </si>
  <si>
    <t>البدائع</t>
  </si>
  <si>
    <t>عفيف</t>
  </si>
  <si>
    <t>أملج</t>
  </si>
  <si>
    <t>صفوى</t>
  </si>
  <si>
    <t>بقيق</t>
  </si>
  <si>
    <t>صامطة</t>
  </si>
  <si>
    <t>البكيرية</t>
  </si>
  <si>
    <t>القنفذة</t>
  </si>
  <si>
    <t>دومة الجندل</t>
  </si>
  <si>
    <t>عرقة</t>
  </si>
  <si>
    <t>الجموم</t>
  </si>
  <si>
    <t>العُلا</t>
  </si>
  <si>
    <t>النعيرية</t>
  </si>
  <si>
    <t>ضباء</t>
  </si>
  <si>
    <t>الدلم</t>
  </si>
  <si>
    <t>تيماء</t>
  </si>
  <si>
    <t>تربة</t>
  </si>
  <si>
    <t>العيون</t>
  </si>
  <si>
    <t>الوجه</t>
  </si>
  <si>
    <t>المذنب</t>
  </si>
  <si>
    <t>بيش</t>
  </si>
  <si>
    <t>شقراء</t>
  </si>
  <si>
    <t>حوطة بني تميم</t>
  </si>
  <si>
    <t>بدر</t>
  </si>
  <si>
    <t>ليلى</t>
  </si>
  <si>
    <t>الطرف</t>
  </si>
  <si>
    <t>رنية</t>
  </si>
  <si>
    <t>القويعية</t>
  </si>
  <si>
    <t>الخرمة</t>
  </si>
  <si>
    <t>القيصومة</t>
  </si>
  <si>
    <t>ثول</t>
  </si>
  <si>
    <t>العوامية</t>
  </si>
  <si>
    <t>المخواة</t>
  </si>
  <si>
    <t>ضمد</t>
  </si>
  <si>
    <t>أحد المسارحة</t>
  </si>
  <si>
    <t>حقل</t>
  </si>
  <si>
    <t>رياض الخبراء</t>
  </si>
  <si>
    <t>مدينة الملك خالد العسكرية</t>
  </si>
  <si>
    <t>السليل</t>
  </si>
  <si>
    <t>رماح</t>
  </si>
  <si>
    <t>الحناكية</t>
  </si>
  <si>
    <t>العاقول</t>
  </si>
  <si>
    <t>ظهران الجنوب</t>
  </si>
  <si>
    <t>المشعلية</t>
  </si>
  <si>
    <t>العمران</t>
  </si>
  <si>
    <t>النماص</t>
  </si>
  <si>
    <t>القديح</t>
  </si>
  <si>
    <t>القوز</t>
  </si>
  <si>
    <t>الجش</t>
  </si>
  <si>
    <t>الكلابية</t>
  </si>
  <si>
    <t>المجاردة</t>
  </si>
  <si>
    <t>المنيزلة</t>
  </si>
  <si>
    <t>الجارودية</t>
  </si>
  <si>
    <t>الليث</t>
  </si>
  <si>
    <t>الجرن</t>
  </si>
  <si>
    <t>مهد الذهب</t>
  </si>
  <si>
    <t>العلاية</t>
  </si>
  <si>
    <t>خليص</t>
  </si>
  <si>
    <t>عنك</t>
  </si>
  <si>
    <t>سراة عبيدة</t>
  </si>
  <si>
    <t>بقعاء</t>
  </si>
  <si>
    <t>العقيق</t>
  </si>
  <si>
    <t>الذيبية</t>
  </si>
  <si>
    <t>العويقيلة</t>
  </si>
  <si>
    <t>الخبراء</t>
  </si>
  <si>
    <t>البدع</t>
  </si>
  <si>
    <t>ضرما</t>
  </si>
  <si>
    <t>الأوجام</t>
  </si>
  <si>
    <t>خيبر</t>
  </si>
  <si>
    <t>تثليث</t>
  </si>
  <si>
    <t>الدائر</t>
  </si>
  <si>
    <t>عيون الجواء</t>
  </si>
  <si>
    <t>أم الساهك</t>
  </si>
  <si>
    <t>البطالية</t>
  </si>
  <si>
    <t>ساجر</t>
  </si>
  <si>
    <t>حوطة سدير</t>
  </si>
  <si>
    <t>الحاير</t>
  </si>
  <si>
    <t>الهياثم</t>
  </si>
  <si>
    <t>السيل الصغير</t>
  </si>
  <si>
    <t>قلوة</t>
  </si>
  <si>
    <t>الحصمة</t>
  </si>
  <si>
    <t>النابية</t>
  </si>
  <si>
    <t>أم الحمام</t>
  </si>
  <si>
    <t>إسكان الكلابية</t>
  </si>
  <si>
    <t>حبونا</t>
  </si>
  <si>
    <t>تنومة</t>
  </si>
  <si>
    <t>صوير</t>
  </si>
  <si>
    <t>الحليلة</t>
  </si>
  <si>
    <t>الشنان</t>
  </si>
  <si>
    <t>قبة</t>
  </si>
  <si>
    <t>الجشة</t>
  </si>
  <si>
    <t>الظبية</t>
  </si>
  <si>
    <t>تمير</t>
  </si>
  <si>
    <t>قرية العليا</t>
  </si>
  <si>
    <t>العارضة</t>
  </si>
  <si>
    <t>بحر أبو سكينة (خميس البحر)</t>
  </si>
  <si>
    <t>بنبان</t>
  </si>
  <si>
    <t>العيدابي</t>
  </si>
  <si>
    <t>فرسان</t>
  </si>
  <si>
    <t>أبو السداد</t>
  </si>
  <si>
    <t>حريملاء</t>
  </si>
  <si>
    <t>المظيلف</t>
  </si>
  <si>
    <t>الرميلة</t>
  </si>
  <si>
    <t>عقلة الصقور</t>
  </si>
  <si>
    <t>التويثير</t>
  </si>
  <si>
    <t>عشيرة</t>
  </si>
  <si>
    <t>ذهبان</t>
  </si>
  <si>
    <t>نمرة</t>
  </si>
  <si>
    <t>قياء</t>
  </si>
  <si>
    <t>الشملي</t>
  </si>
  <si>
    <t>العالية</t>
  </si>
  <si>
    <t>أضم</t>
  </si>
  <si>
    <t>ملهم</t>
  </si>
  <si>
    <t>التوبي</t>
  </si>
  <si>
    <t>العيص</t>
  </si>
  <si>
    <t>فرعة طريب</t>
  </si>
  <si>
    <t>الأرطاوية</t>
  </si>
  <si>
    <t>الغاط</t>
  </si>
  <si>
    <t>المندق</t>
  </si>
  <si>
    <t>القارة</t>
  </si>
  <si>
    <t>العيينة</t>
  </si>
  <si>
    <t>الخارش</t>
  </si>
  <si>
    <t>البديع والقرفي</t>
  </si>
  <si>
    <t>رمادة (أحد المسارحة)</t>
  </si>
  <si>
    <t>البجادية</t>
  </si>
  <si>
    <t>المركز</t>
  </si>
  <si>
    <t>الثمد</t>
  </si>
  <si>
    <t>الوديعة (شرورة)</t>
  </si>
  <si>
    <t>الحائط</t>
  </si>
  <si>
    <t>العماجية</t>
  </si>
  <si>
    <t>الجبيلة</t>
  </si>
  <si>
    <t>الرويضة</t>
  </si>
  <si>
    <t>حرمة</t>
  </si>
  <si>
    <t>مزارع طفيح</t>
  </si>
  <si>
    <t>المنصورة</t>
  </si>
  <si>
    <t>العسيلة (أبو عريش)</t>
  </si>
  <si>
    <t>قاعدة الأمير سلطان</t>
  </si>
  <si>
    <t>الأجفر (بقعاء)</t>
  </si>
  <si>
    <t>النايفية (الخرج)</t>
  </si>
  <si>
    <t>ثادق</t>
  </si>
  <si>
    <t>القرين</t>
  </si>
  <si>
    <t>المضايا</t>
  </si>
  <si>
    <t>حلة محيش</t>
  </si>
  <si>
    <t>المويه</t>
  </si>
  <si>
    <t>خباش</t>
  </si>
  <si>
    <t>الكلية الحربية</t>
  </si>
  <si>
    <t>المطعن</t>
  </si>
  <si>
    <t>الجرادية</t>
  </si>
  <si>
    <t>ميقوع</t>
  </si>
  <si>
    <t>حاكمة (أبو عريش)</t>
  </si>
  <si>
    <t>المليداء</t>
  </si>
  <si>
    <t>الحريق</t>
  </si>
  <si>
    <t>الواديين (أحد رفيدة)</t>
  </si>
  <si>
    <t>غران</t>
  </si>
  <si>
    <t>الحوطة</t>
  </si>
  <si>
    <t>الجفر</t>
  </si>
  <si>
    <t>غطي</t>
  </si>
  <si>
    <t>الخويلدية</t>
  </si>
  <si>
    <t>مرات</t>
  </si>
  <si>
    <t>عين بن فهيد</t>
  </si>
  <si>
    <t>الحسيني</t>
  </si>
  <si>
    <t>مزهرة</t>
  </si>
  <si>
    <t>دخنة</t>
  </si>
  <si>
    <t>مريخ</t>
  </si>
  <si>
    <t>بني حسن</t>
  </si>
  <si>
    <t>أبو السلع</t>
  </si>
  <si>
    <t>مستورة</t>
  </si>
  <si>
    <t>الركوبة</t>
  </si>
  <si>
    <t>الشقيري</t>
  </si>
  <si>
    <t>السيل</t>
  </si>
  <si>
    <t>آل ريحان (تثليث)</t>
  </si>
  <si>
    <t>مشروع حرض</t>
  </si>
  <si>
    <t>الخضراء (صامطة)</t>
  </si>
  <si>
    <t>العروق الشمالية (العارضة)</t>
  </si>
  <si>
    <t>محلية</t>
  </si>
  <si>
    <t>الشماسية</t>
  </si>
  <si>
    <t>شعب مكا</t>
  </si>
  <si>
    <t>القوارة</t>
  </si>
  <si>
    <t>الهدا</t>
  </si>
  <si>
    <t>جبة</t>
  </si>
  <si>
    <t>روضة هباس</t>
  </si>
  <si>
    <t>قصر ابن عقيل</t>
  </si>
  <si>
    <t>أم الأوقب</t>
  </si>
  <si>
    <t>أبو عجرم</t>
  </si>
  <si>
    <t>الاثنين</t>
  </si>
  <si>
    <t>الغزالة</t>
  </si>
  <si>
    <t>الجنفور</t>
  </si>
  <si>
    <t>الرميدة</t>
  </si>
  <si>
    <t>مسلية</t>
  </si>
  <si>
    <t>الملاحة</t>
  </si>
  <si>
    <t>الشواجرة</t>
  </si>
  <si>
    <t>فياض طبرجل</t>
  </si>
  <si>
    <t>الشهارين</t>
  </si>
  <si>
    <t>ضرية</t>
  </si>
  <si>
    <t>الشقة العليا</t>
  </si>
  <si>
    <t>العرفاء</t>
  </si>
  <si>
    <t>البديع الشمالي</t>
  </si>
  <si>
    <t>الفضول</t>
  </si>
  <si>
    <t>النبك أبو قصر</t>
  </si>
  <si>
    <t>الخرادلة</t>
  </si>
  <si>
    <t>روضة سدير</t>
  </si>
  <si>
    <t>الشعيبة</t>
  </si>
  <si>
    <t>أم الدوم</t>
  </si>
  <si>
    <t>النبهانية</t>
  </si>
  <si>
    <t>الدرب</t>
  </si>
  <si>
    <t>مزارع بالمجمعة</t>
  </si>
  <si>
    <t>ملكان</t>
  </si>
  <si>
    <t>الشديدة</t>
  </si>
  <si>
    <t>الغويبة</t>
  </si>
  <si>
    <t>مدينة الملك عبد الله الاقتصادية</t>
  </si>
  <si>
    <t>الهلالية (البكيرية)</t>
  </si>
  <si>
    <t>سنعبرة (خميس مشيط)</t>
  </si>
  <si>
    <t>الشقيق</t>
  </si>
  <si>
    <t>الصفة</t>
  </si>
  <si>
    <t>زلوم</t>
  </si>
  <si>
    <t>العيساوية</t>
  </si>
  <si>
    <t>الناصفة</t>
  </si>
  <si>
    <t>الحديثة</t>
  </si>
  <si>
    <t>الرفيعة</t>
  </si>
  <si>
    <t>الصرار</t>
  </si>
  <si>
    <t>مليجة</t>
  </si>
  <si>
    <t>اللهابة</t>
  </si>
  <si>
    <t>جوف بني هاجر</t>
  </si>
  <si>
    <t>القليب</t>
  </si>
  <si>
    <t>عين دار</t>
  </si>
  <si>
    <t>البرك</t>
  </si>
  <si>
    <t>القرى</t>
  </si>
  <si>
    <t>الحجرة</t>
  </si>
  <si>
    <t>بني سار</t>
  </si>
  <si>
    <t>مركز بالشهم</t>
  </si>
  <si>
    <t>مركز بني ظبيان</t>
  </si>
  <si>
    <t>مركز بني كبير</t>
  </si>
  <si>
    <t>غامد الزناد</t>
  </si>
  <si>
    <t>قرن ظبي</t>
  </si>
  <si>
    <t>رجال ألمع</t>
  </si>
  <si>
    <t>بالخزمر</t>
  </si>
  <si>
    <t>بارق</t>
  </si>
  <si>
    <t>المراح</t>
  </si>
  <si>
    <t>مدخلات وبنود</t>
  </si>
  <si>
    <t>تصنيفات المرافق</t>
  </si>
  <si>
    <t>جنس المستفيدين</t>
  </si>
  <si>
    <t>إحصاءات المرافق حسب جنس المستفيدين</t>
  </si>
  <si>
    <t>عدد المرافق</t>
  </si>
  <si>
    <t>جنس المستفيد</t>
  </si>
  <si>
    <t>الرجال</t>
  </si>
  <si>
    <t>النساء</t>
  </si>
  <si>
    <t xml:space="preserve">                                                                                                                                                             مساجد ومرافق المجدوعي 2024</t>
  </si>
  <si>
    <t xml:space="preserve">تاريخ آخر تحديث: </t>
  </si>
  <si>
    <t>الرقم
التسلسلي</t>
  </si>
  <si>
    <t>المنطقة</t>
  </si>
  <si>
    <t>التصنيف</t>
  </si>
  <si>
    <t>اسم المسجد / المدرسة / الإدارة</t>
  </si>
  <si>
    <t>Maps</t>
  </si>
  <si>
    <t>الفئات 
الرئيسة</t>
  </si>
  <si>
    <t>إحصائيات المساجد</t>
  </si>
  <si>
    <t>فئات الصيانة</t>
  </si>
  <si>
    <t>الصيانة الوقائية</t>
  </si>
  <si>
    <t>بيانات خادم المسجد أو المشرف على المرفق</t>
  </si>
  <si>
    <t>ملاحظات</t>
  </si>
  <si>
    <t>بيانات خطيب المسجد</t>
  </si>
  <si>
    <t>بيانات إمام المسجد</t>
  </si>
  <si>
    <t>بيانات مؤذن المسجد</t>
  </si>
  <si>
    <t>بيانات مشرف المنشأة التعليمية</t>
  </si>
  <si>
    <t>أنواع الصلوات المستهدفة</t>
  </si>
  <si>
    <t>المساحة الكلية
(م2)</t>
  </si>
  <si>
    <t>مصلي الرجال
(م2)</t>
  </si>
  <si>
    <t>صفوف الرجال
(صف)</t>
  </si>
  <si>
    <t>سعة المسجد من المصليين
(رجل)</t>
  </si>
  <si>
    <t>مصلي النساء
(م2)</t>
  </si>
  <si>
    <t>صفوف النساء
(صف)</t>
  </si>
  <si>
    <t>سعة المسجد من المصليات
(امرأة)</t>
  </si>
  <si>
    <t>سعة المسجد من المصلين والمصليات
(شخص)</t>
  </si>
  <si>
    <t>دورات مياه الرجال
(حمام)</t>
  </si>
  <si>
    <t>وضوء الرجال
(منطقة)</t>
  </si>
  <si>
    <t>دورات مياه النساء
(حمام)</t>
  </si>
  <si>
    <t>وضوء النساء
(منطقة)</t>
  </si>
  <si>
    <t>سعة المواقف
(سيارة)</t>
  </si>
  <si>
    <t>مصلي الرجال</t>
  </si>
  <si>
    <t>مصلي النساء</t>
  </si>
  <si>
    <t>الاسم</t>
  </si>
  <si>
    <t>الهوية/الإقامة</t>
  </si>
  <si>
    <t>رقم الجوال</t>
  </si>
  <si>
    <t>الانطباق</t>
  </si>
  <si>
    <t>جنسية الخطيب</t>
  </si>
  <si>
    <t>مصدر المكافأة</t>
  </si>
  <si>
    <t>جنسية الإمام</t>
  </si>
  <si>
    <t>السكن</t>
  </si>
  <si>
    <t>جنسية المؤذن</t>
  </si>
  <si>
    <t>جنسية مشرف المنشأة التعليمية</t>
  </si>
  <si>
    <t>العدد الكلي</t>
  </si>
  <si>
    <t>المعاقين</t>
  </si>
  <si>
    <t>عدد المصاحف</t>
  </si>
  <si>
    <t>عدد حاملات المصاحف</t>
  </si>
  <si>
    <t>عدد دواليب المصاحف</t>
  </si>
  <si>
    <t>عدد الكراسي</t>
  </si>
  <si>
    <t>سكن امام</t>
  </si>
  <si>
    <t>سكن مؤذن</t>
  </si>
  <si>
    <t>سكن الخادم</t>
  </si>
  <si>
    <t>اسم البرنامج</t>
  </si>
  <si>
    <t>الجنسية</t>
  </si>
  <si>
    <t>عدد الخطباء</t>
  </si>
  <si>
    <t>عدد الأئمة</t>
  </si>
  <si>
    <t>عدد المؤذنين</t>
  </si>
  <si>
    <t>عدد مشرفي المنشآت التعليمية</t>
  </si>
  <si>
    <t>إجمالي عدد المنسوبين</t>
  </si>
  <si>
    <t>Masjid / School / Office Name</t>
  </si>
  <si>
    <t>الموقع الجغرافي</t>
  </si>
  <si>
    <t>الفئة (مبادرة منارة)</t>
  </si>
  <si>
    <t>مساحة مصلي الرجال
(م2)</t>
  </si>
  <si>
    <t>عدد صفوف الرجال
(صف)</t>
  </si>
  <si>
    <t>مساحة مصلي النساء
(م2)</t>
  </si>
  <si>
    <t>عدد صفوف النساء
(صف)</t>
  </si>
  <si>
    <t>إجمالي عدد دورات المياه (رجال)</t>
  </si>
  <si>
    <t>عدد دورات المياه المخصصة للمعاقين (رجال)</t>
  </si>
  <si>
    <t>عدد المواضئ (رجال)</t>
  </si>
  <si>
    <t>دورات نساء معاقين</t>
  </si>
  <si>
    <t>عدد المصاحف (مصلي الرجال)</t>
  </si>
  <si>
    <t>عدد حاملات المصاحف (مصلي الرجال)</t>
  </si>
  <si>
    <t>عدد دواليب المصاحف (مصلي الرجال)</t>
  </si>
  <si>
    <t>عدد الكراسي (مصلي الرجال)</t>
  </si>
  <si>
    <t>عدد المصاحف (مصلي النساء)</t>
  </si>
  <si>
    <t>عدد حاملات المصاحف (مصلي النساء)</t>
  </si>
  <si>
    <t>عدد دواليب المصاحف (مصلي النساء)</t>
  </si>
  <si>
    <t>عدد الكراسي (مصلي النساء)</t>
  </si>
  <si>
    <t>Column27</t>
  </si>
  <si>
    <t>Column28</t>
  </si>
  <si>
    <t>Column29</t>
  </si>
  <si>
    <t>Column30</t>
  </si>
  <si>
    <t>خطيب مسجد؟</t>
  </si>
  <si>
    <t>خطيب مسجد؟_</t>
  </si>
  <si>
    <t>Column31</t>
  </si>
  <si>
    <t>Column312</t>
  </si>
  <si>
    <t>Column313</t>
  </si>
  <si>
    <t>مصدر مكافأة الخطيب</t>
  </si>
  <si>
    <t>إمام مسجد؟</t>
  </si>
  <si>
    <t>إمام مسجد؟_</t>
  </si>
  <si>
    <t>Column314</t>
  </si>
  <si>
    <t>Column315</t>
  </si>
  <si>
    <t>Column316</t>
  </si>
  <si>
    <t>Column3162</t>
  </si>
  <si>
    <t>مصدر مكافأة الإمام</t>
  </si>
  <si>
    <t>مؤذن مسجد؟</t>
  </si>
  <si>
    <t>مؤذن مسجد؟_</t>
  </si>
  <si>
    <t>Column317</t>
  </si>
  <si>
    <t>Column318</t>
  </si>
  <si>
    <t>Column319</t>
  </si>
  <si>
    <t>Column3192</t>
  </si>
  <si>
    <t>مصدر مكافأة المؤذن</t>
  </si>
  <si>
    <t>مشرف على منشأة تعليمية؟</t>
  </si>
  <si>
    <t>مشرف على منشأة تعليمية؟_</t>
  </si>
  <si>
    <t>Column320</t>
  </si>
  <si>
    <t>Column321</t>
  </si>
  <si>
    <t>Column322</t>
  </si>
  <si>
    <t>مصدر مكافأة مشرف المنشأة التعليمية</t>
  </si>
  <si>
    <t>الصلوات الجهرية</t>
  </si>
  <si>
    <t>الصلوات السرية</t>
  </si>
  <si>
    <t>صلاة التراويح</t>
  </si>
  <si>
    <t>صلاة القيام</t>
  </si>
  <si>
    <t>صلاة الجمعة</t>
  </si>
  <si>
    <t xml:space="preserve">صلاة العيدين </t>
  </si>
  <si>
    <t xml:space="preserve">صلاة الاستسقاء </t>
  </si>
  <si>
    <t>صلاة الكسوف</t>
  </si>
  <si>
    <t>صلاة الخسوف</t>
  </si>
  <si>
    <t>صلاة الجنائز</t>
  </si>
  <si>
    <t>برنامج شؤون الأئمة والمؤذنين والخطباء</t>
  </si>
  <si>
    <t>وزارة الشؤون الإسلامية</t>
  </si>
  <si>
    <t>سعودي</t>
  </si>
  <si>
    <t>الموقع</t>
  </si>
  <si>
    <t>أ</t>
  </si>
  <si>
    <t>-</t>
  </si>
  <si>
    <t>A</t>
  </si>
  <si>
    <t>Md Sumon Ali
Md Jahangir</t>
  </si>
  <si>
    <t>2550282335
2434232761</t>
  </si>
  <si>
    <t>571873618
566278033</t>
  </si>
  <si>
    <t>حميد علي هزازي</t>
  </si>
  <si>
    <t>مشعل بن محمد عبدالله المطيري</t>
  </si>
  <si>
    <t>مؤسسة المجدوعي الخيرية</t>
  </si>
  <si>
    <t>عبد الله أحمد هزازي</t>
  </si>
  <si>
    <t>0533309860</t>
  </si>
  <si>
    <t>غير سعودي</t>
  </si>
  <si>
    <t xml:space="preserve">الموقع </t>
  </si>
  <si>
    <t>Md Saeed</t>
  </si>
  <si>
    <t>سعد بن محمد النودة</t>
  </si>
  <si>
    <t>إبراهيم يوسف المنصور</t>
  </si>
  <si>
    <t>0503826965</t>
  </si>
  <si>
    <t>الشيخ الوالد</t>
  </si>
  <si>
    <t>حسن محمد الشهري</t>
  </si>
  <si>
    <t>فضيلة الشيخ الوالد</t>
  </si>
  <si>
    <t>MD Robul Islam</t>
  </si>
  <si>
    <t>علي عبدالرحمن الزهراني</t>
  </si>
  <si>
    <t>0556354522</t>
  </si>
  <si>
    <t>هاشم محمد السحيباني</t>
  </si>
  <si>
    <t>شركة أرسال</t>
  </si>
  <si>
    <t>مكة</t>
  </si>
  <si>
    <t>Mohammad Hossain</t>
  </si>
  <si>
    <t>إبراهيم يحيى الغامدي</t>
  </si>
  <si>
    <t>0555777919</t>
  </si>
  <si>
    <t>سعد علي الحارثي</t>
  </si>
  <si>
    <t>0506661519</t>
  </si>
  <si>
    <t xml:space="preserve"> المجدوعي القابضة</t>
  </si>
  <si>
    <t>ب</t>
  </si>
  <si>
    <t>Abu Hanif</t>
  </si>
  <si>
    <t>خالد عمر باسلم</t>
  </si>
  <si>
    <t>0505848498</t>
  </si>
  <si>
    <t>ماجد عبدالله الزريجة</t>
  </si>
  <si>
    <t>المكان شاغر</t>
  </si>
  <si>
    <t>Mohammad Alim</t>
  </si>
  <si>
    <t>سلمان بن علي عبدالوهاب الكحيلاني</t>
  </si>
  <si>
    <t xml:space="preserve"> علي أحمد عواد </t>
  </si>
  <si>
    <t>Mohammad Atik</t>
  </si>
  <si>
    <t>حسين القحطاني</t>
  </si>
  <si>
    <t>0503688880</t>
  </si>
  <si>
    <t>يوسف النجدي</t>
  </si>
  <si>
    <t>0534419528</t>
  </si>
  <si>
    <t>مصطفى عبد الحميد عبد المقصود زيدان</t>
  </si>
  <si>
    <t>جامع سعيد بن عبدالله المجدوعي بالدمام (المجمع السكني)</t>
  </si>
  <si>
    <t>ج</t>
  </si>
  <si>
    <t>Mohammad Bukul</t>
  </si>
  <si>
    <t>جمعية الدعوة والإرشاد وتوعية الجاليات بالدمام</t>
  </si>
  <si>
    <t>أشرف (أرسال)</t>
  </si>
  <si>
    <t>Saiful Islam</t>
  </si>
  <si>
    <t>جمعية الدعوة والإرشاد وتوعية الجاليات بالجبيل</t>
  </si>
  <si>
    <t>أبو حنيف (أرسال)</t>
  </si>
  <si>
    <t>4225 </t>
  </si>
  <si>
    <t>جمعية الدعوة والإرشاد وتوعية الجاليات بجدة</t>
  </si>
  <si>
    <t>جاهد (أرسال)</t>
  </si>
  <si>
    <t>د</t>
  </si>
  <si>
    <t>Nazmul Islam</t>
  </si>
  <si>
    <t>غير متاح</t>
  </si>
  <si>
    <t>B</t>
  </si>
  <si>
    <t>محمد عاطف (الشفت النهاري)</t>
  </si>
  <si>
    <t>0595640974</t>
  </si>
  <si>
    <t>أرسلان خان (الشفت الليلي)</t>
  </si>
  <si>
    <t>0580530114</t>
  </si>
  <si>
    <t>عبدالعزيز حسن الدوسري</t>
  </si>
  <si>
    <t>محمد علي السلمي</t>
  </si>
  <si>
    <t>0561990121</t>
  </si>
  <si>
    <t>يحي عوض السلمي</t>
  </si>
  <si>
    <t>0595415190</t>
  </si>
  <si>
    <t>معايل محمد الريثي</t>
  </si>
  <si>
    <t>0596968941</t>
  </si>
  <si>
    <t>يحيى جبار الشحني</t>
  </si>
  <si>
    <t>0590620657</t>
  </si>
  <si>
    <t>أحمد عثمان عبد القادر</t>
  </si>
  <si>
    <t>0545965684</t>
  </si>
  <si>
    <t>صيتة المطيري</t>
  </si>
  <si>
    <t>هيفاء اليمني</t>
  </si>
  <si>
    <t>جميلة القحطاني</t>
  </si>
  <si>
    <t>منيرة المالكي</t>
  </si>
  <si>
    <t>عبدالله الأهدل</t>
  </si>
  <si>
    <t>علي عبدالعزيز العامري</t>
  </si>
  <si>
    <t>صادق علي الوهاشي</t>
  </si>
  <si>
    <t>محمد يوسف</t>
  </si>
  <si>
    <t>0506931559</t>
  </si>
  <si>
    <t>طريق أبوحدرية</t>
  </si>
  <si>
    <t>خادم واحد</t>
  </si>
  <si>
    <t>الزبير عبدالباسط</t>
  </si>
  <si>
    <t>عمر محمد شكوة</t>
  </si>
  <si>
    <t>0569993537</t>
  </si>
  <si>
    <t xml:space="preserve">جامع فكرة بنت سعيد المجدوعي ببلجرشي (منتجع إكرام المسنين) </t>
  </si>
  <si>
    <t>جمعية إكرام المسنين بلجرشي</t>
  </si>
  <si>
    <t>هـ</t>
  </si>
  <si>
    <t>C</t>
  </si>
  <si>
    <t>محمد علي الغامدي</t>
  </si>
  <si>
    <t>1034198224</t>
  </si>
  <si>
    <t>0503777085</t>
  </si>
  <si>
    <t>محمد بن عابد القرشي</t>
  </si>
  <si>
    <t>0505841058</t>
  </si>
  <si>
    <t>محمد عابد القرشي</t>
  </si>
  <si>
    <t>غير محدد</t>
  </si>
  <si>
    <t>جامع أم عبدالله المجدوعي بمكة المكرمة</t>
  </si>
  <si>
    <t>عبدالله محمد الزهراني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</si>
</sst>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[$-10B0000]B2dddd\ d\ mmmm\ yyyy\م;@"/>
    <numFmt numFmtId="165" formatCode="#,##0.0000000"/>
    <numFmt numFmtId="166" formatCode="[$-F800]dddd\,\ mmmm\ dd\,\ yyyy"/>
  </numFmts>
  <fonts count="73" x14ac:knownFonts="1">
    <font>
      <sz val="11"/>
      <color theme="1" tint="0.24994659260841701"/>
      <name val="itf rayat Black"/>
      <family val="2"/>
      <scheme val="major"/>
    </font>
    <font>
      <sz val="11"/>
      <color theme="1"/>
      <name val="itf rayat"/>
      <family val="2"/>
      <scheme val="minor"/>
    </font>
    <font>
      <sz val="11"/>
      <color theme="1"/>
      <name val="itf rayat"/>
      <family val="2"/>
      <scheme val="minor"/>
    </font>
    <font>
      <sz val="11"/>
      <color theme="1"/>
      <name val="itf rayat"/>
      <family val="2"/>
      <scheme val="minor"/>
    </font>
    <font>
      <sz val="11"/>
      <color theme="1"/>
      <name val="itf rayat"/>
      <family val="2"/>
      <scheme val="minor"/>
    </font>
    <font>
      <sz val="11"/>
      <color theme="1"/>
      <name val="itf rayat"/>
      <family val="2"/>
      <scheme val="minor"/>
    </font>
    <font>
      <sz val="11"/>
      <color theme="1"/>
      <name val="itf rayat"/>
      <family val="2"/>
      <scheme val="minor"/>
    </font>
    <font>
      <sz val="11"/>
      <color theme="1"/>
      <name val="itf rayat"/>
      <family val="2"/>
      <scheme val="minor"/>
    </font>
    <font>
      <sz val="11"/>
      <color theme="1"/>
      <name val="itf rayat"/>
      <family val="2"/>
      <scheme val="minor"/>
    </font>
    <font>
      <sz val="11"/>
      <color theme="1"/>
      <name val="itf rayat"/>
      <family val="2"/>
      <scheme val="minor"/>
    </font>
    <font>
      <sz val="11"/>
      <color theme="1"/>
      <name val="itf rayat"/>
      <family val="2"/>
      <scheme val="minor"/>
    </font>
    <font>
      <sz val="11"/>
      <color theme="1"/>
      <name val="itf rayat"/>
      <family val="2"/>
      <scheme val="minor"/>
    </font>
    <font>
      <sz val="11"/>
      <color theme="1"/>
      <name val="itf rayat"/>
      <family val="2"/>
      <scheme val="minor"/>
    </font>
    <font>
      <sz val="14"/>
      <color theme="1" tint="0.24994659260841701"/>
      <name val="itf rayat"/>
      <family val="2"/>
      <scheme val="minor"/>
    </font>
    <font>
      <b/>
      <sz val="13"/>
      <color theme="1" tint="0.24994659260841701"/>
      <name val="itf rayat Black"/>
      <family val="2"/>
      <scheme val="major"/>
    </font>
    <font>
      <b/>
      <sz val="13"/>
      <color theme="7"/>
      <name val="itf rayat Black"/>
      <family val="2"/>
      <scheme val="major"/>
    </font>
    <font>
      <b/>
      <sz val="42"/>
      <color theme="7"/>
      <name val="itf rayat Black"/>
      <family val="2"/>
      <scheme val="major"/>
    </font>
    <font>
      <b/>
      <sz val="11"/>
      <color theme="1" tint="0.24994659260841701"/>
      <name val="itf rayat"/>
      <family val="2"/>
      <scheme val="minor"/>
    </font>
    <font>
      <b/>
      <sz val="11"/>
      <color theme="1" tint="0.34998626667073579"/>
      <name val="itf rayat"/>
      <family val="2"/>
      <scheme val="minor"/>
    </font>
    <font>
      <sz val="11"/>
      <color theme="1" tint="0.24994659260841701"/>
      <name val="itf rayat Black"/>
      <family val="2"/>
      <scheme val="major"/>
    </font>
    <font>
      <i/>
      <sz val="11"/>
      <color theme="7"/>
      <name val="itf rayat"/>
      <family val="2"/>
      <scheme val="minor"/>
    </font>
    <font>
      <sz val="12"/>
      <color theme="1" tint="0.24994659260841701"/>
      <name val="itf rayat Black"/>
      <family val="2"/>
      <scheme val="major"/>
    </font>
    <font>
      <sz val="11"/>
      <color theme="1"/>
      <name val="Arial"/>
      <family val="2"/>
    </font>
    <font>
      <sz val="8"/>
      <name val="itf rayat Black"/>
      <family val="2"/>
      <scheme val="major"/>
    </font>
    <font>
      <sz val="11"/>
      <color rgb="FF3F3F3F"/>
      <name val="itf rayat"/>
      <family val="2"/>
      <scheme val="minor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theme="1"/>
      <name val="itf rayat"/>
      <family val="2"/>
      <charset val="178"/>
      <scheme val="minor"/>
    </font>
    <font>
      <u/>
      <sz val="11"/>
      <color theme="10"/>
      <name val="itf rayat"/>
      <family val="2"/>
      <scheme val="minor"/>
    </font>
    <font>
      <sz val="18"/>
      <color theme="3"/>
      <name val="itf rayat Black"/>
      <family val="2"/>
      <scheme val="major"/>
    </font>
    <font>
      <sz val="10"/>
      <color rgb="FF000000"/>
      <name val="itf rayat"/>
      <family val="2"/>
      <scheme val="minor"/>
    </font>
    <font>
      <u/>
      <sz val="11"/>
      <color theme="10"/>
      <name val="itf rayat"/>
      <family val="2"/>
      <charset val="178"/>
      <scheme val="minor"/>
    </font>
    <font>
      <sz val="10"/>
      <color rgb="FF000000"/>
      <name val="itf rayat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</font>
    <font>
      <sz val="11"/>
      <color rgb="FF000000"/>
      <name val="itf rayat"/>
      <family val="2"/>
      <scheme val="minor"/>
    </font>
    <font>
      <b/>
      <sz val="20"/>
      <color theme="0"/>
      <name val="itf rayat"/>
      <family val="3"/>
      <scheme val="minor"/>
    </font>
    <font>
      <b/>
      <sz val="48"/>
      <color theme="1"/>
      <name val="itf rayat"/>
      <family val="3"/>
    </font>
    <font>
      <b/>
      <sz val="20"/>
      <color theme="1"/>
      <name val="itf rayat"/>
      <family val="3"/>
    </font>
    <font>
      <b/>
      <sz val="20"/>
      <color theme="0"/>
      <name val="itf rayat"/>
      <family val="3"/>
    </font>
    <font>
      <b/>
      <sz val="20"/>
      <color theme="1"/>
      <name val="itf rayat"/>
      <family val="3"/>
      <scheme val="minor"/>
    </font>
    <font>
      <b/>
      <sz val="28"/>
      <color theme="1"/>
      <name val="itf rayat"/>
      <family val="3"/>
    </font>
    <font>
      <b/>
      <sz val="28"/>
      <color theme="1"/>
      <name val="itf rayat"/>
      <family val="3"/>
      <scheme val="minor"/>
    </font>
    <font>
      <sz val="11"/>
      <color theme="1"/>
      <name val="itf rayat Black"/>
      <family val="2"/>
      <scheme val="major"/>
    </font>
    <font>
      <sz val="10"/>
      <color indexed="8"/>
      <name val="Arial"/>
      <family val="2"/>
    </font>
    <font>
      <b/>
      <sz val="22"/>
      <color rgb="FF008751"/>
      <name val="Frutiger LT Arabic 45 Light"/>
    </font>
    <font>
      <sz val="11"/>
      <color theme="1"/>
      <name val="Tahoma"/>
      <family val="2"/>
    </font>
    <font>
      <sz val="20"/>
      <color rgb="FF008751"/>
      <name val="Frutiger LT Arabic 45 Light"/>
    </font>
    <font>
      <sz val="14"/>
      <color rgb="FF008751"/>
      <name val="Frutiger LT Arabic 45 Light"/>
    </font>
    <font>
      <b/>
      <sz val="12"/>
      <color theme="0"/>
      <name val="Frutiger LT Arabic 45 Light"/>
    </font>
    <font>
      <b/>
      <sz val="20"/>
      <color theme="0"/>
      <name val="Tahoma"/>
      <family val="2"/>
    </font>
    <font>
      <sz val="10"/>
      <name val="Tahoma"/>
      <family val="2"/>
    </font>
    <font>
      <sz val="10"/>
      <color rgb="FF008751"/>
      <name val="Frutiger LT Arabic 45 Light"/>
    </font>
    <font>
      <b/>
      <sz val="10"/>
      <color rgb="FF008751"/>
      <name val="Frutiger LT Arabic 45 Light"/>
    </font>
    <font>
      <sz val="10"/>
      <color rgb="FF000000"/>
      <name val="Tahoma"/>
      <family val="2"/>
    </font>
    <font>
      <u/>
      <sz val="10"/>
      <color rgb="FF008751"/>
      <name val="Frutiger LT Arabic 45 Light"/>
    </font>
    <font>
      <sz val="10"/>
      <color theme="0"/>
      <name val="Frutiger LT Arabic 45 Light"/>
    </font>
    <font>
      <sz val="12"/>
      <color theme="0"/>
      <name val="Tahoma"/>
      <family val="2"/>
    </font>
    <font>
      <sz val="10"/>
      <color theme="0"/>
      <name val="Tahoma"/>
      <family val="2"/>
    </font>
    <font>
      <sz val="10"/>
      <color theme="1"/>
      <name val="Tahoma"/>
      <family val="2"/>
    </font>
    <font>
      <sz val="12"/>
      <name val="Tahoma"/>
      <family val="2"/>
    </font>
    <font>
      <sz val="12"/>
      <color rgb="FF008751"/>
      <name val="Frutiger LT Arabic 45 Light"/>
    </font>
    <font>
      <b/>
      <sz val="12"/>
      <color rgb="FF008751"/>
      <name val="Frutiger LT Arabic 45 Light"/>
    </font>
    <font>
      <u/>
      <sz val="11"/>
      <color rgb="FF008751"/>
      <name val="Frutiger LT Arabic 45 Light"/>
    </font>
    <font>
      <sz val="11"/>
      <color rgb="FF008751"/>
      <name val="Frutiger LT Arabic 45 Light"/>
    </font>
    <font>
      <sz val="11"/>
      <color theme="5" tint="-0.249977111117893"/>
      <name val="Frutiger LT Arabic 45 Light"/>
    </font>
    <font>
      <sz val="11"/>
      <color rgb="FF619254"/>
      <name val="Frutiger LT Arabic 45 Light"/>
    </font>
    <font>
      <u/>
      <sz val="11"/>
      <color theme="10"/>
      <name val="Tahoma"/>
      <family val="2"/>
    </font>
    <font>
      <sz val="11"/>
      <color rgb="FFC00000"/>
      <name val="Frutiger LT Arabic 45 Light"/>
    </font>
    <font>
      <sz val="12"/>
      <color rgb="FF619254"/>
      <name val="Tahoma"/>
      <family val="2"/>
    </font>
    <font>
      <b/>
      <sz val="12"/>
      <name val="Tahoma"/>
      <family val="2"/>
    </font>
    <font>
      <b/>
      <sz val="12"/>
      <color theme="1"/>
      <name val="Tahoma"/>
      <family val="2"/>
    </font>
  </fonts>
  <fills count="25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8751"/>
        <bgColor indexed="64"/>
      </patternFill>
    </fill>
    <fill>
      <patternFill patternType="solid">
        <fgColor rgb="FFC3672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C0F8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theme="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/>
      <bottom/>
      <diagonal/>
    </border>
  </borders>
  <cellStyleXfs count="70">
    <xf numFmtId="0" fontId="0" fillId="0" borderId="0" applyNumberFormat="0" applyFill="0" applyBorder="0" applyProtection="0">
      <alignment horizontal="center" vertical="center"/>
    </xf>
    <xf numFmtId="0" fontId="16" fillId="0" borderId="0" applyNumberFormat="0" applyFill="0" applyBorder="0" applyAlignment="0" applyProtection="0"/>
    <xf numFmtId="0" fontId="14" fillId="0" borderId="0" applyFill="0" applyBorder="0" applyProtection="0">
      <alignment horizontal="left" wrapText="1"/>
    </xf>
    <xf numFmtId="3" fontId="18" fillId="0" borderId="2" applyFill="0" applyProtection="0">
      <alignment horizontal="center"/>
    </xf>
    <xf numFmtId="0" fontId="18" fillId="0" borderId="0" applyFill="0" applyBorder="0" applyProtection="0">
      <alignment horizontal="center" wrapText="1"/>
    </xf>
    <xf numFmtId="0" fontId="13" fillId="0" borderId="0" applyNumberFormat="0" applyFill="0" applyBorder="0" applyProtection="0">
      <alignment horizontal="left" vertical="center"/>
    </xf>
    <xf numFmtId="9" fontId="15" fillId="0" borderId="0" applyFill="0" applyBorder="0" applyProtection="0">
      <alignment horizontal="center" vertical="center"/>
    </xf>
    <xf numFmtId="0" fontId="17" fillId="6" borderId="1" applyNumberFormat="0" applyProtection="0">
      <alignment horizontal="left" vertical="center"/>
    </xf>
    <xf numFmtId="0" fontId="16" fillId="0" borderId="0" applyNumberFormat="0" applyFill="0" applyBorder="0" applyProtection="0">
      <alignment vertical="center"/>
    </xf>
    <xf numFmtId="0" fontId="18" fillId="0" borderId="0" applyFill="0" applyProtection="0">
      <alignment vertical="center"/>
    </xf>
    <xf numFmtId="0" fontId="18" fillId="0" borderId="0" applyFill="0" applyProtection="0">
      <alignment horizontal="center" vertical="center" wrapText="1"/>
    </xf>
    <xf numFmtId="0" fontId="18" fillId="0" borderId="0" applyFill="0" applyProtection="0">
      <alignment horizontal="left"/>
    </xf>
    <xf numFmtId="0" fontId="20" fillId="0" borderId="0" applyNumberFormat="0" applyFill="0" applyBorder="0" applyProtection="0">
      <alignment vertical="center"/>
    </xf>
    <xf numFmtId="1" fontId="21" fillId="6" borderId="1">
      <alignment horizontal="center" vertical="center"/>
    </xf>
    <xf numFmtId="0" fontId="19" fillId="2" borderId="4" applyNumberFormat="0" applyFont="0" applyAlignment="0">
      <alignment horizontal="center"/>
    </xf>
    <xf numFmtId="0" fontId="19" fillId="3" borderId="3" applyNumberFormat="0" applyFont="0" applyAlignment="0">
      <alignment horizontal="center"/>
    </xf>
    <xf numFmtId="0" fontId="19" fillId="4" borderId="3" applyNumberFormat="0" applyFont="0" applyAlignment="0">
      <alignment horizontal="center"/>
    </xf>
    <xf numFmtId="0" fontId="19" fillId="5" borderId="3" applyNumberFormat="0" applyFont="0" applyAlignment="0">
      <alignment horizontal="center"/>
    </xf>
    <xf numFmtId="0" fontId="19" fillId="7" borderId="3" applyNumberFormat="0" applyFont="0" applyAlignment="0">
      <alignment horizontal="center"/>
    </xf>
    <xf numFmtId="0" fontId="22" fillId="0" borderId="0"/>
    <xf numFmtId="0" fontId="12" fillId="0" borderId="0"/>
    <xf numFmtId="43" fontId="12" fillId="0" borderId="0" applyFont="0" applyFill="0" applyBorder="0" applyAlignment="0" applyProtection="0"/>
    <xf numFmtId="0" fontId="11" fillId="0" borderId="0"/>
    <xf numFmtId="0" fontId="10" fillId="0" borderId="0"/>
    <xf numFmtId="0" fontId="22" fillId="0" borderId="0"/>
    <xf numFmtId="0" fontId="18" fillId="0" borderId="0" applyFill="0" applyProtection="0">
      <alignment vertical="center"/>
    </xf>
    <xf numFmtId="0" fontId="18" fillId="0" borderId="0" applyFill="0" applyProtection="0">
      <alignment horizontal="left"/>
    </xf>
    <xf numFmtId="0" fontId="24" fillId="0" borderId="0"/>
    <xf numFmtId="0" fontId="19" fillId="0" borderId="0" applyNumberFormat="0" applyFill="0" applyBorder="0" applyProtection="0">
      <alignment horizontal="center" vertical="center"/>
    </xf>
    <xf numFmtId="0" fontId="25" fillId="0" borderId="0"/>
    <xf numFmtId="0" fontId="26" fillId="0" borderId="0" applyNumberFormat="0" applyFill="0" applyBorder="0" applyAlignment="0" applyProtection="0"/>
    <xf numFmtId="0" fontId="27" fillId="0" borderId="0"/>
    <xf numFmtId="0" fontId="10" fillId="0" borderId="0"/>
    <xf numFmtId="0" fontId="16" fillId="0" borderId="0" applyNumberFormat="0" applyFill="0" applyBorder="0" applyProtection="0">
      <alignment vertical="center"/>
    </xf>
    <xf numFmtId="0" fontId="9" fillId="0" borderId="0"/>
    <xf numFmtId="0" fontId="28" fillId="0" borderId="0" applyNumberFormat="0" applyFill="0" applyBorder="0" applyAlignment="0" applyProtection="0"/>
    <xf numFmtId="0" fontId="27" fillId="0" borderId="0"/>
    <xf numFmtId="0" fontId="8" fillId="0" borderId="0"/>
    <xf numFmtId="0" fontId="24" fillId="0" borderId="0"/>
    <xf numFmtId="0" fontId="22" fillId="0" borderId="0"/>
    <xf numFmtId="9" fontId="8" fillId="0" borderId="0" applyFont="0" applyFill="0" applyBorder="0" applyAlignment="0" applyProtection="0"/>
    <xf numFmtId="0" fontId="8" fillId="0" borderId="0"/>
    <xf numFmtId="0" fontId="29" fillId="0" borderId="0" applyNumberFormat="0" applyFill="0" applyBorder="0" applyAlignment="0" applyProtection="0"/>
    <xf numFmtId="0" fontId="8" fillId="0" borderId="0"/>
    <xf numFmtId="0" fontId="30" fillId="0" borderId="0"/>
    <xf numFmtId="0" fontId="27" fillId="0" borderId="0"/>
    <xf numFmtId="0" fontId="31" fillId="0" borderId="0" applyNumberFormat="0" applyFill="0" applyBorder="0" applyAlignment="0" applyProtection="0"/>
    <xf numFmtId="0" fontId="32" fillId="0" borderId="0"/>
    <xf numFmtId="0" fontId="39" fillId="0" borderId="0" applyNumberFormat="0" applyFill="0" applyBorder="0" applyAlignment="0" applyProtection="0">
      <alignment horizontal="center" vertical="center"/>
    </xf>
    <xf numFmtId="0" fontId="7" fillId="0" borderId="0"/>
    <xf numFmtId="0" fontId="24" fillId="0" borderId="0"/>
    <xf numFmtId="0" fontId="6" fillId="0" borderId="0"/>
    <xf numFmtId="0" fontId="6" fillId="0" borderId="0"/>
    <xf numFmtId="0" fontId="33" fillId="0" borderId="0"/>
    <xf numFmtId="0" fontId="34" fillId="0" borderId="0" applyNumberFormat="0" applyFill="0" applyBorder="0" applyAlignment="0" applyProtection="0"/>
    <xf numFmtId="0" fontId="5" fillId="0" borderId="0"/>
    <xf numFmtId="0" fontId="4" fillId="0" borderId="0"/>
    <xf numFmtId="0" fontId="35" fillId="0" borderId="0"/>
    <xf numFmtId="0" fontId="36" fillId="0" borderId="0"/>
    <xf numFmtId="0" fontId="22" fillId="0" borderId="0"/>
    <xf numFmtId="0" fontId="30" fillId="0" borderId="0"/>
    <xf numFmtId="0" fontId="3" fillId="0" borderId="0"/>
    <xf numFmtId="0" fontId="2" fillId="0" borderId="0"/>
    <xf numFmtId="0" fontId="2" fillId="0" borderId="0"/>
    <xf numFmtId="0" fontId="44" fillId="0" borderId="0" applyNumberFormat="0" applyFill="0" applyBorder="0" applyAlignment="0" applyProtection="0">
      <alignment horizontal="center" vertical="center"/>
    </xf>
    <xf numFmtId="0" fontId="1" fillId="0" borderId="0"/>
    <xf numFmtId="0" fontId="45" fillId="0" borderId="0"/>
    <xf numFmtId="0" fontId="47" fillId="0" borderId="0">
      <alignment wrapText="1"/>
    </xf>
    <xf numFmtId="0" fontId="26" fillId="0" borderId="0" applyNumberFormat="0" applyFill="0" applyBorder="0" applyAlignment="0" applyProtection="0"/>
    <xf numFmtId="0" fontId="68" fillId="0" borderId="0" applyNumberFormat="0" applyFill="0" applyBorder="0" applyAlignment="0" applyProtection="0">
      <alignment wrapText="1"/>
    </xf>
  </cellStyleXfs>
  <cellXfs count="247">
    <xf numFmtId="0" fontId="0" fillId="0" borderId="0" xfId="0">
      <alignment horizontal="center" vertical="center"/>
    </xf>
    <xf numFmtId="0" fontId="39" fillId="8" borderId="0" xfId="50" applyFont="1" applyFill="1" applyAlignment="1">
      <alignment horizontal="center" vertical="center" readingOrder="2"/>
    </xf>
    <xf numFmtId="0" fontId="39" fillId="11" borderId="0" xfId="28" applyFont="1" applyFill="1" applyBorder="1" applyAlignment="1">
      <alignment horizontal="center" vertical="center" readingOrder="2"/>
    </xf>
    <xf numFmtId="0" fontId="39" fillId="0" borderId="0" xfId="2" applyFont="1" applyAlignment="1">
      <alignment horizontal="center" vertical="center" readingOrder="2"/>
    </xf>
    <xf numFmtId="0" fontId="39" fillId="0" borderId="0" xfId="28" applyFont="1" applyAlignment="1">
      <alignment horizontal="center" vertical="center" readingOrder="2"/>
    </xf>
    <xf numFmtId="0" fontId="39" fillId="8" borderId="0" xfId="28" applyFont="1" applyFill="1" applyAlignment="1">
      <alignment horizontal="center" vertical="center" readingOrder="2"/>
    </xf>
    <xf numFmtId="0" fontId="39" fillId="8" borderId="0" xfId="2" applyFont="1" applyFill="1" applyBorder="1" applyAlignment="1">
      <alignment horizontal="center" vertical="center" readingOrder="2"/>
    </xf>
    <xf numFmtId="0" fontId="39" fillId="11" borderId="0" xfId="2" applyFont="1" applyFill="1" applyBorder="1" applyAlignment="1">
      <alignment horizontal="center" vertical="center" readingOrder="2"/>
    </xf>
    <xf numFmtId="0" fontId="39" fillId="7" borderId="0" xfId="59" applyFont="1" applyFill="1" applyAlignment="1">
      <alignment horizontal="center" vertical="center" readingOrder="2"/>
    </xf>
    <xf numFmtId="0" fontId="39" fillId="9" borderId="0" xfId="59" applyFont="1" applyFill="1" applyAlignment="1">
      <alignment horizontal="center" vertical="center" readingOrder="2"/>
    </xf>
    <xf numFmtId="0" fontId="39" fillId="11" borderId="0" xfId="50" applyFont="1" applyFill="1" applyAlignment="1">
      <alignment horizontal="center" vertical="center" readingOrder="2"/>
    </xf>
    <xf numFmtId="0" fontId="39" fillId="8" borderId="0" xfId="59" applyFont="1" applyFill="1" applyAlignment="1">
      <alignment horizontal="center" vertical="center" readingOrder="2"/>
    </xf>
    <xf numFmtId="0" fontId="40" fillId="11" borderId="0" xfId="59" applyFont="1" applyFill="1" applyAlignment="1">
      <alignment horizontal="center" vertical="center" readingOrder="2"/>
    </xf>
    <xf numFmtId="0" fontId="37" fillId="0" borderId="0" xfId="28" applyFont="1" applyFill="1" applyBorder="1" applyAlignment="1">
      <alignment horizontal="center" vertical="center" readingOrder="2"/>
    </xf>
    <xf numFmtId="0" fontId="39" fillId="8" borderId="0" xfId="50" applyFont="1" applyFill="1" applyAlignment="1">
      <alignment horizontal="right" vertical="center" readingOrder="2"/>
    </xf>
    <xf numFmtId="0" fontId="41" fillId="8" borderId="0" xfId="2" applyFont="1" applyFill="1" applyBorder="1" applyAlignment="1">
      <alignment horizontal="center" vertical="center" readingOrder="2"/>
    </xf>
    <xf numFmtId="0" fontId="39" fillId="10" borderId="0" xfId="59" applyFont="1" applyFill="1" applyAlignment="1">
      <alignment horizontal="center" vertical="center" readingOrder="2"/>
    </xf>
    <xf numFmtId="0" fontId="40" fillId="12" borderId="0" xfId="59" applyFont="1" applyFill="1" applyAlignment="1">
      <alignment horizontal="center" vertical="center" readingOrder="2"/>
    </xf>
    <xf numFmtId="0" fontId="37" fillId="0" borderId="0" xfId="28" applyFont="1" applyFill="1" applyBorder="1" applyAlignment="1">
      <alignment horizontal="center" vertical="center" wrapText="1" readingOrder="2"/>
    </xf>
    <xf numFmtId="0" fontId="39" fillId="0" borderId="0" xfId="28" applyFont="1" applyFill="1" applyBorder="1" applyAlignment="1">
      <alignment horizontal="center" vertical="center" readingOrder="2"/>
    </xf>
    <xf numFmtId="0" fontId="39" fillId="0" borderId="0" xfId="2" applyFont="1" applyFill="1" applyBorder="1" applyAlignment="1">
      <alignment horizontal="center" vertical="center" readingOrder="2"/>
    </xf>
    <xf numFmtId="0" fontId="41" fillId="0" borderId="0" xfId="2" applyFont="1" applyFill="1" applyBorder="1" applyAlignment="1">
      <alignment horizontal="center" vertical="center" readingOrder="2"/>
    </xf>
    <xf numFmtId="0" fontId="41" fillId="0" borderId="0" xfId="28" applyFont="1" applyFill="1" applyBorder="1" applyAlignment="1">
      <alignment horizontal="right" vertical="center" readingOrder="2"/>
    </xf>
    <xf numFmtId="0" fontId="39" fillId="0" borderId="0" xfId="28" applyFont="1" applyFill="1" applyAlignment="1">
      <alignment horizontal="center" vertical="center" readingOrder="2"/>
    </xf>
    <xf numFmtId="3" fontId="41" fillId="0" borderId="0" xfId="28" applyNumberFormat="1" applyFont="1" applyFill="1" applyBorder="1" applyAlignment="1">
      <alignment horizontal="center" vertical="center" readingOrder="2"/>
    </xf>
    <xf numFmtId="0" fontId="43" fillId="0" borderId="0" xfId="28" applyFont="1" applyBorder="1" applyAlignment="1">
      <alignment horizontal="center" vertical="center" readingOrder="2"/>
    </xf>
    <xf numFmtId="0" fontId="37" fillId="0" borderId="0" xfId="65" applyFont="1" applyAlignment="1">
      <alignment horizontal="center" vertical="center" readingOrder="2"/>
    </xf>
    <xf numFmtId="0" fontId="41" fillId="0" borderId="0" xfId="65" applyFont="1" applyAlignment="1">
      <alignment horizontal="center" vertical="center" readingOrder="2"/>
    </xf>
    <xf numFmtId="0" fontId="39" fillId="11" borderId="0" xfId="28" applyFont="1" applyFill="1" applyBorder="1">
      <alignment horizontal="center" vertical="center"/>
    </xf>
    <xf numFmtId="0" fontId="39" fillId="11" borderId="0" xfId="2" applyFont="1" applyFill="1" applyBorder="1" applyAlignment="1">
      <alignment horizontal="center" vertical="center"/>
    </xf>
    <xf numFmtId="0" fontId="39" fillId="8" borderId="0" xfId="50" applyFont="1" applyFill="1" applyAlignment="1">
      <alignment horizontal="center" vertical="center"/>
    </xf>
    <xf numFmtId="0" fontId="39" fillId="11" borderId="0" xfId="50" applyFont="1" applyFill="1" applyAlignment="1">
      <alignment horizontal="center" vertical="center"/>
    </xf>
    <xf numFmtId="0" fontId="38" fillId="8" borderId="0" xfId="50" applyFont="1" applyFill="1" applyAlignment="1">
      <alignment horizontal="right" vertical="center"/>
    </xf>
    <xf numFmtId="0" fontId="37" fillId="0" borderId="0" xfId="28" applyFont="1" applyBorder="1">
      <alignment horizontal="center" vertical="center"/>
    </xf>
    <xf numFmtId="0" fontId="39" fillId="8" borderId="0" xfId="28" applyFont="1" applyFill="1">
      <alignment horizontal="center" vertical="center"/>
    </xf>
    <xf numFmtId="0" fontId="41" fillId="0" borderId="0" xfId="28" applyFont="1" applyBorder="1">
      <alignment horizontal="center" vertical="center"/>
    </xf>
    <xf numFmtId="164" fontId="41" fillId="0" borderId="0" xfId="28" applyNumberFormat="1" applyFont="1" applyBorder="1">
      <alignment horizontal="center" vertical="center"/>
    </xf>
    <xf numFmtId="0" fontId="39" fillId="8" borderId="0" xfId="59" applyFont="1" applyFill="1" applyAlignment="1">
      <alignment horizontal="center" vertical="center"/>
    </xf>
    <xf numFmtId="0" fontId="39" fillId="0" borderId="0" xfId="2" applyFont="1" applyAlignment="1">
      <alignment horizontal="center" vertical="center"/>
    </xf>
    <xf numFmtId="0" fontId="37" fillId="0" borderId="0" xfId="28" applyFont="1" applyFill="1" applyBorder="1" applyAlignment="1">
      <alignment horizontal="center" vertical="center" wrapText="1"/>
    </xf>
    <xf numFmtId="0" fontId="37" fillId="0" borderId="9" xfId="28" applyFont="1" applyFill="1" applyBorder="1" applyAlignment="1">
      <alignment horizontal="center" vertical="center" wrapText="1"/>
    </xf>
    <xf numFmtId="0" fontId="37" fillId="0" borderId="10" xfId="28" applyFont="1" applyFill="1" applyBorder="1" applyAlignment="1">
      <alignment horizontal="center" vertical="center" wrapText="1"/>
    </xf>
    <xf numFmtId="0" fontId="39" fillId="9" borderId="0" xfId="59" applyFont="1" applyFill="1" applyAlignment="1">
      <alignment horizontal="center" vertical="center"/>
    </xf>
    <xf numFmtId="0" fontId="41" fillId="0" borderId="0" xfId="28" applyFont="1" applyFill="1" applyBorder="1">
      <alignment horizontal="center" vertical="center"/>
    </xf>
    <xf numFmtId="0" fontId="41" fillId="0" borderId="9" xfId="28" applyFont="1" applyFill="1" applyBorder="1">
      <alignment horizontal="center" vertical="center"/>
    </xf>
    <xf numFmtId="0" fontId="41" fillId="0" borderId="0" xfId="28" applyFont="1" applyFill="1" applyBorder="1" applyAlignment="1">
      <alignment horizontal="right" vertical="center"/>
    </xf>
    <xf numFmtId="4" fontId="41" fillId="0" borderId="10" xfId="28" applyNumberFormat="1" applyFont="1" applyFill="1" applyBorder="1" applyAlignment="1">
      <alignment horizontal="left" vertical="center"/>
    </xf>
    <xf numFmtId="4" fontId="39" fillId="0" borderId="0" xfId="48" applyNumberFormat="1" applyFill="1" applyBorder="1" applyAlignment="1">
      <alignment horizontal="left" vertical="center"/>
    </xf>
    <xf numFmtId="165" fontId="41" fillId="0" borderId="0" xfId="28" applyNumberFormat="1" applyFont="1" applyFill="1" applyBorder="1">
      <alignment horizontal="center" vertical="center"/>
    </xf>
    <xf numFmtId="165" fontId="41" fillId="0" borderId="10" xfId="28" applyNumberFormat="1" applyFont="1" applyFill="1" applyBorder="1">
      <alignment horizontal="center" vertical="center"/>
    </xf>
    <xf numFmtId="3" fontId="41" fillId="0" borderId="0" xfId="28" applyNumberFormat="1" applyFont="1" applyFill="1" applyBorder="1">
      <alignment horizontal="center" vertical="center"/>
    </xf>
    <xf numFmtId="3" fontId="41" fillId="0" borderId="10" xfId="28" applyNumberFormat="1" applyFont="1" applyFill="1" applyBorder="1">
      <alignment horizontal="center" vertical="center"/>
    </xf>
    <xf numFmtId="3" fontId="41" fillId="0" borderId="9" xfId="28" applyNumberFormat="1" applyFont="1" applyFill="1" applyBorder="1">
      <alignment horizontal="center" vertical="center"/>
    </xf>
    <xf numFmtId="4" fontId="41" fillId="0" borderId="0" xfId="28" applyNumberFormat="1" applyFont="1" applyFill="1" applyBorder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0" fillId="11" borderId="0" xfId="59" applyFont="1" applyFill="1" applyAlignment="1">
      <alignment horizontal="center" vertical="center"/>
    </xf>
    <xf numFmtId="0" fontId="40" fillId="12" borderId="0" xfId="59" applyFont="1" applyFill="1" applyAlignment="1">
      <alignment horizontal="center" vertical="center"/>
    </xf>
    <xf numFmtId="0" fontId="39" fillId="10" borderId="0" xfId="59" applyFont="1" applyFill="1" applyAlignment="1">
      <alignment horizontal="center" vertical="center"/>
    </xf>
    <xf numFmtId="0" fontId="39" fillId="0" borderId="0" xfId="28" applyFont="1" applyFill="1" applyBorder="1">
      <alignment horizontal="center" vertical="center"/>
    </xf>
    <xf numFmtId="0" fontId="41" fillId="0" borderId="0" xfId="28" applyNumberFormat="1" applyFont="1" applyFill="1" applyBorder="1">
      <alignment horizontal="center" vertical="center"/>
    </xf>
    <xf numFmtId="4" fontId="41" fillId="0" borderId="0" xfId="28" applyNumberFormat="1" applyFont="1" applyFill="1" applyBorder="1" applyAlignment="1">
      <alignment horizontal="left" vertical="center"/>
    </xf>
    <xf numFmtId="0" fontId="39" fillId="0" borderId="0" xfId="2" applyFont="1" applyFill="1" applyBorder="1" applyAlignment="1">
      <alignment horizontal="center" vertical="center"/>
    </xf>
    <xf numFmtId="3" fontId="41" fillId="10" borderId="0" xfId="28" applyNumberFormat="1" applyFont="1" applyFill="1" applyBorder="1">
      <alignment horizontal="center" vertical="center"/>
    </xf>
    <xf numFmtId="0" fontId="40" fillId="7" borderId="0" xfId="59" applyFont="1" applyFill="1" applyAlignment="1">
      <alignment horizontal="center" vertical="center"/>
    </xf>
    <xf numFmtId="0" fontId="46" fillId="8" borderId="0" xfId="66" applyFont="1" applyFill="1" applyAlignment="1">
      <alignment horizontal="right" vertical="center"/>
    </xf>
    <xf numFmtId="0" fontId="47" fillId="0" borderId="0" xfId="67">
      <alignment wrapText="1"/>
    </xf>
    <xf numFmtId="0" fontId="48" fillId="8" borderId="14" xfId="66" applyFont="1" applyFill="1" applyBorder="1" applyAlignment="1">
      <alignment horizontal="right" vertical="center"/>
    </xf>
    <xf numFmtId="0" fontId="48" fillId="8" borderId="0" xfId="66" applyFont="1" applyFill="1" applyAlignment="1">
      <alignment horizontal="right" vertical="center"/>
    </xf>
    <xf numFmtId="166" fontId="49" fillId="8" borderId="0" xfId="66" applyNumberFormat="1" applyFont="1" applyFill="1" applyAlignment="1">
      <alignment horizontal="right" vertical="center"/>
    </xf>
    <xf numFmtId="0" fontId="49" fillId="8" borderId="0" xfId="66" applyFont="1" applyFill="1" applyAlignment="1">
      <alignment vertical="center"/>
    </xf>
    <xf numFmtId="0" fontId="48" fillId="8" borderId="16" xfId="66" applyFont="1" applyFill="1" applyBorder="1" applyAlignment="1">
      <alignment horizontal="right" vertical="center"/>
    </xf>
    <xf numFmtId="4" fontId="50" fillId="13" borderId="18" xfId="66" applyNumberFormat="1" applyFont="1" applyFill="1" applyBorder="1" applyAlignment="1">
      <alignment horizontal="center" vertical="center" readingOrder="2"/>
    </xf>
    <xf numFmtId="4" fontId="50" fillId="13" borderId="26" xfId="66" applyNumberFormat="1" applyFont="1" applyFill="1" applyBorder="1" applyAlignment="1">
      <alignment horizontal="center" vertical="center" readingOrder="2"/>
    </xf>
    <xf numFmtId="4" fontId="50" fillId="13" borderId="28" xfId="66" applyNumberFormat="1" applyFont="1" applyFill="1" applyBorder="1" applyAlignment="1">
      <alignment horizontal="center" vertical="center" wrapText="1" readingOrder="2"/>
    </xf>
    <xf numFmtId="4" fontId="50" fillId="13" borderId="30" xfId="66" applyNumberFormat="1" applyFont="1" applyFill="1" applyBorder="1" applyAlignment="1">
      <alignment horizontal="center" vertical="center" wrapText="1" readingOrder="2"/>
    </xf>
    <xf numFmtId="1" fontId="50" fillId="15" borderId="27" xfId="66" applyNumberFormat="1" applyFont="1" applyFill="1" applyBorder="1" applyAlignment="1">
      <alignment horizontal="center" vertical="center" readingOrder="2"/>
    </xf>
    <xf numFmtId="1" fontId="50" fillId="15" borderId="32" xfId="66" applyNumberFormat="1" applyFont="1" applyFill="1" applyBorder="1" applyAlignment="1">
      <alignment horizontal="center" vertical="center" readingOrder="2"/>
    </xf>
    <xf numFmtId="4" fontId="50" fillId="13" borderId="34" xfId="66" applyNumberFormat="1" applyFont="1" applyFill="1" applyBorder="1" applyAlignment="1">
      <alignment horizontal="center" vertical="center" wrapText="1" readingOrder="2"/>
    </xf>
    <xf numFmtId="1" fontId="50" fillId="15" borderId="36" xfId="66" applyNumberFormat="1" applyFont="1" applyFill="1" applyBorder="1" applyAlignment="1">
      <alignment horizontal="center" vertical="center" readingOrder="2"/>
    </xf>
    <xf numFmtId="1" fontId="50" fillId="15" borderId="37" xfId="66" applyNumberFormat="1" applyFont="1" applyFill="1" applyBorder="1" applyAlignment="1">
      <alignment horizontal="center" vertical="center" readingOrder="2"/>
    </xf>
    <xf numFmtId="0" fontId="47" fillId="0" borderId="0" xfId="67" applyAlignment="1">
      <alignment horizontal="center" vertical="center"/>
    </xf>
    <xf numFmtId="0" fontId="47" fillId="0" borderId="0" xfId="67" applyAlignment="1">
      <alignment horizontal="center" vertical="center" wrapText="1"/>
    </xf>
    <xf numFmtId="49" fontId="52" fillId="13" borderId="38" xfId="67" applyNumberFormat="1" applyFont="1" applyFill="1" applyBorder="1" applyAlignment="1">
      <alignment horizontal="center" vertical="center" wrapText="1" readingOrder="2"/>
    </xf>
    <xf numFmtId="0" fontId="53" fillId="17" borderId="29" xfId="66" applyFont="1" applyFill="1" applyBorder="1" applyAlignment="1">
      <alignment horizontal="center" vertical="center" readingOrder="2"/>
    </xf>
    <xf numFmtId="4" fontId="53" fillId="17" borderId="29" xfId="66" applyNumberFormat="1" applyFont="1" applyFill="1" applyBorder="1" applyAlignment="1">
      <alignment horizontal="center" vertical="center" readingOrder="2"/>
    </xf>
    <xf numFmtId="4" fontId="54" fillId="17" borderId="29" xfId="66" applyNumberFormat="1" applyFont="1" applyFill="1" applyBorder="1" applyAlignment="1">
      <alignment horizontal="center" vertical="center" readingOrder="2"/>
    </xf>
    <xf numFmtId="0" fontId="55" fillId="18" borderId="29" xfId="67" applyFont="1" applyFill="1" applyBorder="1" applyAlignment="1">
      <alignment horizontal="center" vertical="center" wrapText="1" readingOrder="2"/>
    </xf>
    <xf numFmtId="0" fontId="56" fillId="17" borderId="29" xfId="68" applyFont="1" applyFill="1" applyBorder="1" applyAlignment="1">
      <alignment horizontal="center" vertical="center" wrapText="1" readingOrder="2"/>
    </xf>
    <xf numFmtId="0" fontId="56" fillId="17" borderId="39" xfId="68" applyFont="1" applyFill="1" applyBorder="1" applyAlignment="1">
      <alignment horizontal="center" vertical="center" wrapText="1" readingOrder="2"/>
    </xf>
    <xf numFmtId="0" fontId="57" fillId="19" borderId="40" xfId="68" applyFont="1" applyFill="1" applyBorder="1" applyAlignment="1">
      <alignment horizontal="center" vertical="center" wrapText="1" readingOrder="2"/>
    </xf>
    <xf numFmtId="0" fontId="55" fillId="18" borderId="36" xfId="67" applyFont="1" applyFill="1" applyBorder="1" applyAlignment="1">
      <alignment horizontal="center" vertical="center" wrapText="1" readingOrder="2"/>
    </xf>
    <xf numFmtId="3" fontId="55" fillId="18" borderId="29" xfId="67" applyNumberFormat="1" applyFont="1" applyFill="1" applyBorder="1" applyAlignment="1">
      <alignment horizontal="center" vertical="center" wrapText="1" readingOrder="2"/>
    </xf>
    <xf numFmtId="0" fontId="55" fillId="18" borderId="34" xfId="67" applyFont="1" applyFill="1" applyBorder="1" applyAlignment="1">
      <alignment horizontal="center" vertical="center" wrapText="1" readingOrder="2"/>
    </xf>
    <xf numFmtId="0" fontId="52" fillId="20" borderId="34" xfId="67" applyFont="1" applyFill="1" applyBorder="1" applyAlignment="1">
      <alignment horizontal="center" vertical="center" wrapText="1" readingOrder="2"/>
    </xf>
    <xf numFmtId="0" fontId="52" fillId="20" borderId="29" xfId="67" applyFont="1" applyFill="1" applyBorder="1" applyAlignment="1">
      <alignment horizontal="center" vertical="center" wrapText="1" readingOrder="2"/>
    </xf>
    <xf numFmtId="0" fontId="52" fillId="20" borderId="29" xfId="67" applyFont="1" applyFill="1" applyBorder="1" applyAlignment="1">
      <alignment horizontal="center" vertical="center" readingOrder="2"/>
    </xf>
    <xf numFmtId="0" fontId="52" fillId="20" borderId="39" xfId="67" applyFont="1" applyFill="1" applyBorder="1" applyAlignment="1">
      <alignment horizontal="center" vertical="center" wrapText="1" readingOrder="2"/>
    </xf>
    <xf numFmtId="0" fontId="52" fillId="20" borderId="41" xfId="67" applyFont="1" applyFill="1" applyBorder="1" applyAlignment="1">
      <alignment horizontal="center" vertical="center" wrapText="1" readingOrder="2"/>
    </xf>
    <xf numFmtId="0" fontId="57" fillId="19" borderId="42" xfId="68" applyFont="1" applyFill="1" applyBorder="1" applyAlignment="1">
      <alignment horizontal="center" vertical="center" readingOrder="2"/>
    </xf>
    <xf numFmtId="0" fontId="58" fillId="19" borderId="34" xfId="68" applyFont="1" applyFill="1" applyBorder="1" applyAlignment="1">
      <alignment horizontal="center" vertical="center" readingOrder="2"/>
    </xf>
    <xf numFmtId="1" fontId="58" fillId="19" borderId="34" xfId="68" applyNumberFormat="1" applyFont="1" applyFill="1" applyBorder="1" applyAlignment="1">
      <alignment horizontal="center" vertical="center" readingOrder="2"/>
    </xf>
    <xf numFmtId="49" fontId="58" fillId="19" borderId="35" xfId="68" applyNumberFormat="1" applyFont="1" applyFill="1" applyBorder="1" applyAlignment="1">
      <alignment horizontal="center" vertical="center" readingOrder="2"/>
    </xf>
    <xf numFmtId="49" fontId="58" fillId="19" borderId="43" xfId="68" applyNumberFormat="1" applyFont="1" applyFill="1" applyBorder="1" applyAlignment="1">
      <alignment horizontal="center" vertical="center" readingOrder="2"/>
    </xf>
    <xf numFmtId="0" fontId="58" fillId="19" borderId="36" xfId="68" applyFont="1" applyFill="1" applyBorder="1" applyAlignment="1">
      <alignment horizontal="center" vertical="center" readingOrder="2"/>
    </xf>
    <xf numFmtId="0" fontId="58" fillId="19" borderId="35" xfId="68" applyFont="1" applyFill="1" applyBorder="1" applyAlignment="1">
      <alignment horizontal="center" vertical="center" readingOrder="2"/>
    </xf>
    <xf numFmtId="0" fontId="58" fillId="19" borderId="44" xfId="68" applyFont="1" applyFill="1" applyBorder="1" applyAlignment="1">
      <alignment horizontal="center" vertical="center" readingOrder="2"/>
    </xf>
    <xf numFmtId="0" fontId="58" fillId="19" borderId="44" xfId="68" applyFont="1" applyFill="1" applyBorder="1" applyAlignment="1">
      <alignment horizontal="center" vertical="center" wrapText="1" readingOrder="2"/>
    </xf>
    <xf numFmtId="3" fontId="59" fillId="19" borderId="29" xfId="66" applyNumberFormat="1" applyFont="1" applyFill="1" applyBorder="1" applyAlignment="1">
      <alignment horizontal="center" vertical="center" readingOrder="2"/>
    </xf>
    <xf numFmtId="0" fontId="60" fillId="0" borderId="0" xfId="67" applyFont="1">
      <alignment wrapText="1"/>
    </xf>
    <xf numFmtId="0" fontId="60" fillId="0" borderId="0" xfId="67" applyFont="1" applyAlignment="1">
      <alignment horizontal="center" vertical="center" wrapText="1"/>
    </xf>
    <xf numFmtId="49" fontId="61" fillId="13" borderId="38" xfId="67" applyNumberFormat="1" applyFont="1" applyFill="1" applyBorder="1" applyAlignment="1">
      <alignment horizontal="center" vertical="center" wrapText="1" readingOrder="2"/>
    </xf>
    <xf numFmtId="0" fontId="62" fillId="17" borderId="29" xfId="66" applyFont="1" applyFill="1" applyBorder="1" applyAlignment="1">
      <alignment horizontal="center" vertical="center" readingOrder="2"/>
    </xf>
    <xf numFmtId="4" fontId="62" fillId="17" borderId="29" xfId="66" applyNumberFormat="1" applyFont="1" applyFill="1" applyBorder="1" applyAlignment="1">
      <alignment horizontal="center" vertical="center" readingOrder="2"/>
    </xf>
    <xf numFmtId="4" fontId="63" fillId="17" borderId="29" xfId="66" applyNumberFormat="1" applyFont="1" applyFill="1" applyBorder="1" applyAlignment="1">
      <alignment horizontal="center" vertical="center" readingOrder="2"/>
    </xf>
    <xf numFmtId="0" fontId="64" fillId="17" borderId="29" xfId="68" applyFont="1" applyFill="1" applyBorder="1" applyAlignment="1">
      <alignment horizontal="center" vertical="center" wrapText="1" readingOrder="2"/>
    </xf>
    <xf numFmtId="0" fontId="64" fillId="17" borderId="39" xfId="68" applyFont="1" applyFill="1" applyBorder="1" applyAlignment="1">
      <alignment horizontal="center" vertical="center" wrapText="1" readingOrder="2"/>
    </xf>
    <xf numFmtId="0" fontId="65" fillId="21" borderId="40" xfId="68" applyFont="1" applyFill="1" applyBorder="1" applyAlignment="1">
      <alignment horizontal="center" vertical="center" readingOrder="2"/>
    </xf>
    <xf numFmtId="0" fontId="61" fillId="18" borderId="36" xfId="67" applyFont="1" applyFill="1" applyBorder="1" applyAlignment="1">
      <alignment horizontal="center" vertical="center" readingOrder="2"/>
    </xf>
    <xf numFmtId="3" fontId="61" fillId="18" borderId="29" xfId="67" applyNumberFormat="1" applyFont="1" applyFill="1" applyBorder="1" applyAlignment="1">
      <alignment horizontal="center" vertical="center" readingOrder="2"/>
    </xf>
    <xf numFmtId="0" fontId="61" fillId="18" borderId="29" xfId="67" applyFont="1" applyFill="1" applyBorder="1" applyAlignment="1">
      <alignment horizontal="center" vertical="center" readingOrder="2"/>
    </xf>
    <xf numFmtId="0" fontId="61" fillId="18" borderId="39" xfId="67" applyFont="1" applyFill="1" applyBorder="1" applyAlignment="1">
      <alignment horizontal="center" vertical="center" readingOrder="2"/>
    </xf>
    <xf numFmtId="49" fontId="61" fillId="18" borderId="39" xfId="68" applyNumberFormat="1" applyFont="1" applyFill="1" applyBorder="1" applyAlignment="1">
      <alignment horizontal="center" vertical="center" readingOrder="2"/>
      <extLst>
        <ext xmlns:xfpb="http://schemas.microsoft.com/office/spreadsheetml/2022/featurepropertybag" uri="{C7286773-470A-42A8-94C5-96B5CB345126}">
          <xfpb:xfComplement i="0"/>
        </ext>
      </extLst>
    </xf>
    <xf numFmtId="0" fontId="66" fillId="18" borderId="42" xfId="68" applyFont="1" applyFill="1" applyBorder="1" applyAlignment="1">
      <alignment horizontal="center" vertical="center" readingOrder="2"/>
    </xf>
    <xf numFmtId="0" fontId="61" fillId="18" borderId="34" xfId="68" applyFont="1" applyFill="1" applyBorder="1" applyAlignment="1">
      <alignment horizontal="center" vertical="center" readingOrder="2"/>
    </xf>
    <xf numFmtId="1" fontId="61" fillId="18" borderId="34" xfId="68" applyNumberFormat="1" applyFont="1" applyFill="1" applyBorder="1" applyAlignment="1">
      <alignment horizontal="center" vertical="center" readingOrder="2"/>
    </xf>
    <xf numFmtId="49" fontId="61" fillId="18" borderId="35" xfId="68" applyNumberFormat="1" applyFont="1" applyFill="1" applyBorder="1" applyAlignment="1">
      <alignment horizontal="center" vertical="center" readingOrder="2"/>
    </xf>
    <xf numFmtId="49" fontId="61" fillId="18" borderId="43" xfId="68" applyNumberFormat="1" applyFont="1" applyFill="1" applyBorder="1" applyAlignment="1">
      <alignment horizontal="center" vertical="center" readingOrder="2"/>
      <extLst>
        <ext xmlns:xfpb="http://schemas.microsoft.com/office/spreadsheetml/2022/featurepropertybag" uri="{C7286773-470A-42A8-94C5-96B5CB345126}">
          <xfpb:xfComplement i="0"/>
        </ext>
      </extLst>
    </xf>
    <xf numFmtId="0" fontId="61" fillId="18" borderId="43" xfId="68" applyNumberFormat="1" applyFont="1" applyFill="1" applyBorder="1" applyAlignment="1">
      <alignment horizontal="center" vertical="center" readingOrder="2"/>
    </xf>
    <xf numFmtId="0" fontId="61" fillId="18" borderId="36" xfId="68" applyFont="1" applyFill="1" applyBorder="1" applyAlignment="1">
      <alignment horizontal="center" vertical="center" readingOrder="2"/>
    </xf>
    <xf numFmtId="0" fontId="61" fillId="18" borderId="34" xfId="68" applyFont="1" applyFill="1" applyBorder="1" applyAlignment="1">
      <alignment horizontal="center" vertical="center" readingOrder="2"/>
      <extLst>
        <ext xmlns:xfpb="http://schemas.microsoft.com/office/spreadsheetml/2022/featurepropertybag" uri="{C7286773-470A-42A8-94C5-96B5CB345126}">
          <xfpb:xfComplement i="0"/>
        </ext>
      </extLst>
    </xf>
    <xf numFmtId="0" fontId="61" fillId="18" borderId="35" xfId="68" applyFont="1" applyFill="1" applyBorder="1" applyAlignment="1">
      <alignment horizontal="center" vertical="center" readingOrder="2"/>
    </xf>
    <xf numFmtId="0" fontId="61" fillId="18" borderId="44" xfId="68" applyFont="1" applyFill="1" applyBorder="1" applyAlignment="1">
      <alignment horizontal="center" vertical="center" readingOrder="2"/>
    </xf>
    <xf numFmtId="0" fontId="61" fillId="18" borderId="29" xfId="68" applyFont="1" applyFill="1" applyBorder="1" applyAlignment="1">
      <alignment horizontal="center" vertical="center" readingOrder="2"/>
      <extLst>
        <ext xmlns:xfpb="http://schemas.microsoft.com/office/spreadsheetml/2022/featurepropertybag" uri="{C7286773-470A-42A8-94C5-96B5CB345126}">
          <xfpb:xfComplement i="0"/>
        </ext>
      </extLst>
    </xf>
    <xf numFmtId="0" fontId="64" fillId="17" borderId="29" xfId="68" applyFont="1" applyFill="1" applyBorder="1" applyAlignment="1">
      <alignment horizontal="center" vertical="center" readingOrder="2"/>
    </xf>
    <xf numFmtId="0" fontId="64" fillId="17" borderId="39" xfId="68" applyFont="1" applyFill="1" applyBorder="1" applyAlignment="1">
      <alignment horizontal="center" vertical="center" readingOrder="2"/>
    </xf>
    <xf numFmtId="0" fontId="61" fillId="18" borderId="45" xfId="67" applyFont="1" applyFill="1" applyBorder="1" applyAlignment="1">
      <alignment horizontal="center" vertical="center" readingOrder="2"/>
    </xf>
    <xf numFmtId="0" fontId="61" fillId="18" borderId="29" xfId="68" applyFont="1" applyFill="1" applyBorder="1" applyAlignment="1">
      <alignment horizontal="center" vertical="center" readingOrder="2"/>
    </xf>
    <xf numFmtId="1" fontId="61" fillId="18" borderId="29" xfId="68" applyNumberFormat="1" applyFont="1" applyFill="1" applyBorder="1" applyAlignment="1">
      <alignment horizontal="center" vertical="center" readingOrder="2"/>
    </xf>
    <xf numFmtId="49" fontId="61" fillId="18" borderId="40" xfId="68" applyNumberFormat="1" applyFont="1" applyFill="1" applyBorder="1" applyAlignment="1">
      <alignment horizontal="center" vertical="center" readingOrder="2"/>
    </xf>
    <xf numFmtId="49" fontId="61" fillId="18" borderId="41" xfId="68" applyNumberFormat="1" applyFont="1" applyFill="1" applyBorder="1" applyAlignment="1">
      <alignment horizontal="center" vertical="center" readingOrder="2"/>
      <extLst>
        <ext xmlns:xfpb="http://schemas.microsoft.com/office/spreadsheetml/2022/featurepropertybag" uri="{C7286773-470A-42A8-94C5-96B5CB345126}">
          <xfpb:xfComplement i="0"/>
        </ext>
      </extLst>
    </xf>
    <xf numFmtId="0" fontId="61" fillId="18" borderId="41" xfId="68" applyNumberFormat="1" applyFont="1" applyFill="1" applyBorder="1" applyAlignment="1">
      <alignment horizontal="center" vertical="center" readingOrder="2"/>
    </xf>
    <xf numFmtId="0" fontId="61" fillId="18" borderId="45" xfId="68" applyFont="1" applyFill="1" applyBorder="1" applyAlignment="1">
      <alignment horizontal="center" vertical="center" readingOrder="2"/>
    </xf>
    <xf numFmtId="0" fontId="61" fillId="18" borderId="40" xfId="68" applyFont="1" applyFill="1" applyBorder="1" applyAlignment="1">
      <alignment horizontal="center" vertical="center" readingOrder="2"/>
    </xf>
    <xf numFmtId="0" fontId="61" fillId="18" borderId="39" xfId="68" applyFont="1" applyFill="1" applyBorder="1" applyAlignment="1">
      <alignment horizontal="center" vertical="center" readingOrder="2"/>
    </xf>
    <xf numFmtId="0" fontId="61" fillId="18" borderId="39" xfId="68" applyNumberFormat="1" applyFont="1" applyFill="1" applyBorder="1" applyAlignment="1">
      <alignment horizontal="center" vertical="center" readingOrder="2"/>
    </xf>
    <xf numFmtId="0" fontId="61" fillId="18" borderId="39" xfId="68" applyFont="1" applyFill="1" applyBorder="1" applyAlignment="1">
      <alignment horizontal="center" vertical="center" readingOrder="2"/>
      <extLst>
        <ext xmlns:xfpb="http://schemas.microsoft.com/office/spreadsheetml/2022/featurepropertybag" uri="{C7286773-470A-42A8-94C5-96B5CB345126}">
          <xfpb:xfComplement i="0"/>
        </ext>
      </extLst>
    </xf>
    <xf numFmtId="0" fontId="65" fillId="22" borderId="40" xfId="68" applyFont="1" applyFill="1" applyBorder="1" applyAlignment="1">
      <alignment horizontal="center" vertical="center" readingOrder="2"/>
    </xf>
    <xf numFmtId="4" fontId="64" fillId="17" borderId="29" xfId="68" applyNumberFormat="1" applyFont="1" applyFill="1" applyBorder="1" applyAlignment="1">
      <alignment horizontal="center" vertical="center" readingOrder="2"/>
    </xf>
    <xf numFmtId="4" fontId="65" fillId="23" borderId="40" xfId="68" applyNumberFormat="1" applyFont="1" applyFill="1" applyBorder="1" applyAlignment="1">
      <alignment horizontal="center" vertical="center" readingOrder="2"/>
    </xf>
    <xf numFmtId="4" fontId="61" fillId="18" borderId="29" xfId="68" applyNumberFormat="1" applyFont="1" applyFill="1" applyBorder="1" applyAlignment="1">
      <alignment horizontal="center" vertical="center" readingOrder="2"/>
    </xf>
    <xf numFmtId="4" fontId="63" fillId="18" borderId="29" xfId="66" applyNumberFormat="1" applyFont="1" applyFill="1" applyBorder="1" applyAlignment="1">
      <alignment horizontal="center" vertical="center" readingOrder="2"/>
    </xf>
    <xf numFmtId="4" fontId="65" fillId="17" borderId="40" xfId="68" applyNumberFormat="1" applyFont="1" applyFill="1" applyBorder="1" applyAlignment="1">
      <alignment horizontal="center" vertical="center" readingOrder="2"/>
    </xf>
    <xf numFmtId="0" fontId="65" fillId="23" borderId="40" xfId="68" applyFont="1" applyFill="1" applyBorder="1" applyAlignment="1">
      <alignment horizontal="center" vertical="center" readingOrder="2"/>
    </xf>
    <xf numFmtId="4" fontId="66" fillId="18" borderId="42" xfId="68" applyNumberFormat="1" applyFont="1" applyFill="1" applyBorder="1" applyAlignment="1">
      <alignment horizontal="center" vertical="center" readingOrder="2"/>
    </xf>
    <xf numFmtId="0" fontId="62" fillId="17" borderId="29" xfId="67" applyFont="1" applyFill="1" applyBorder="1" applyAlignment="1">
      <alignment horizontal="center" vertical="center" readingOrder="2"/>
    </xf>
    <xf numFmtId="0" fontId="67" fillId="17" borderId="29" xfId="68" applyFont="1" applyFill="1" applyBorder="1" applyAlignment="1">
      <alignment horizontal="center" vertical="center" readingOrder="2"/>
    </xf>
    <xf numFmtId="0" fontId="68" fillId="17" borderId="29" xfId="69" applyFill="1" applyBorder="1" applyAlignment="1">
      <alignment horizontal="center" vertical="center" readingOrder="2"/>
    </xf>
    <xf numFmtId="4" fontId="65" fillId="23" borderId="40" xfId="66" applyNumberFormat="1" applyFont="1" applyFill="1" applyBorder="1" applyAlignment="1">
      <alignment horizontal="center" vertical="center" readingOrder="2"/>
    </xf>
    <xf numFmtId="4" fontId="66" fillId="18" borderId="42" xfId="66" applyNumberFormat="1" applyFont="1" applyFill="1" applyBorder="1" applyAlignment="1">
      <alignment horizontal="center" vertical="center" readingOrder="2"/>
    </xf>
    <xf numFmtId="0" fontId="65" fillId="17" borderId="29" xfId="68" applyFont="1" applyFill="1" applyBorder="1" applyAlignment="1">
      <alignment horizontal="center" vertical="center" readingOrder="2"/>
    </xf>
    <xf numFmtId="3" fontId="62" fillId="17" borderId="29" xfId="66" applyNumberFormat="1" applyFont="1" applyFill="1" applyBorder="1" applyAlignment="1">
      <alignment horizontal="center" vertical="center" readingOrder="2"/>
    </xf>
    <xf numFmtId="4" fontId="69" fillId="24" borderId="33" xfId="66" applyNumberFormat="1" applyFont="1" applyFill="1" applyBorder="1" applyAlignment="1">
      <alignment horizontal="center" vertical="center" readingOrder="2"/>
    </xf>
    <xf numFmtId="4" fontId="61" fillId="18" borderId="45" xfId="66" applyNumberFormat="1" applyFont="1" applyFill="1" applyBorder="1" applyAlignment="1">
      <alignment horizontal="center" vertical="center" readingOrder="2"/>
    </xf>
    <xf numFmtId="4" fontId="61" fillId="18" borderId="29" xfId="66" applyNumberFormat="1" applyFont="1" applyFill="1" applyBorder="1" applyAlignment="1">
      <alignment horizontal="center" vertical="center" readingOrder="2"/>
    </xf>
    <xf numFmtId="4" fontId="61" fillId="18" borderId="39" xfId="66" applyNumberFormat="1" applyFont="1" applyFill="1" applyBorder="1" applyAlignment="1">
      <alignment horizontal="center" vertical="center" readingOrder="2"/>
    </xf>
    <xf numFmtId="0" fontId="70" fillId="17" borderId="29" xfId="67" applyFont="1" applyFill="1" applyBorder="1" applyAlignment="1">
      <alignment horizontal="center" vertical="center" wrapText="1"/>
    </xf>
    <xf numFmtId="4" fontId="62" fillId="18" borderId="29" xfId="66" applyNumberFormat="1" applyFont="1" applyFill="1" applyBorder="1" applyAlignment="1">
      <alignment horizontal="center" vertical="center" readingOrder="2"/>
    </xf>
    <xf numFmtId="0" fontId="64" fillId="18" borderId="29" xfId="68" applyFont="1" applyFill="1" applyBorder="1" applyAlignment="1">
      <alignment horizontal="center" vertical="center" readingOrder="2"/>
    </xf>
    <xf numFmtId="0" fontId="64" fillId="18" borderId="39" xfId="68" applyFont="1" applyFill="1" applyBorder="1" applyAlignment="1">
      <alignment horizontal="center" vertical="center" readingOrder="2"/>
    </xf>
    <xf numFmtId="4" fontId="69" fillId="18" borderId="33" xfId="66" applyNumberFormat="1" applyFont="1" applyFill="1" applyBorder="1" applyAlignment="1">
      <alignment horizontal="center" vertical="center" readingOrder="2"/>
    </xf>
    <xf numFmtId="4" fontId="47" fillId="0" borderId="0" xfId="67" applyNumberFormat="1">
      <alignment wrapText="1"/>
    </xf>
    <xf numFmtId="0" fontId="71" fillId="18" borderId="46" xfId="67" applyFont="1" applyFill="1" applyBorder="1" applyAlignment="1">
      <alignment horizontal="center" vertical="center" readingOrder="2"/>
    </xf>
    <xf numFmtId="49" fontId="47" fillId="0" borderId="0" xfId="67" applyNumberFormat="1">
      <alignment wrapText="1"/>
    </xf>
    <xf numFmtId="0" fontId="72" fillId="0" borderId="0" xfId="67" applyFont="1">
      <alignment wrapText="1"/>
    </xf>
    <xf numFmtId="0" fontId="41" fillId="0" borderId="0" xfId="28" applyNumberFormat="1" applyFont="1" applyFill="1" applyBorder="1" applyAlignment="1">
      <alignment horizontal="right" vertical="center" readingOrder="2"/>
    </xf>
    <xf numFmtId="3" fontId="41" fillId="0" borderId="9" xfId="28" applyNumberFormat="1" applyFont="1" applyFill="1" applyBorder="1" applyAlignment="1">
      <alignment horizontal="center" vertical="center" readingOrder="2"/>
    </xf>
    <xf numFmtId="0" fontId="41" fillId="0" borderId="0" xfId="28" applyNumberFormat="1" applyFont="1" applyFill="1" applyAlignment="1">
      <alignment horizontal="right" vertical="center" readingOrder="2"/>
    </xf>
    <xf numFmtId="3" fontId="41" fillId="0" borderId="0" xfId="28" applyNumberFormat="1" applyFont="1" applyFill="1" applyAlignment="1">
      <alignment horizontal="center" vertical="center" readingOrder="2"/>
    </xf>
    <xf numFmtId="0" fontId="37" fillId="0" borderId="47" xfId="28" applyFont="1" applyFill="1" applyBorder="1" applyAlignment="1">
      <alignment horizontal="center" vertical="center" wrapText="1" readingOrder="2"/>
    </xf>
    <xf numFmtId="0" fontId="41" fillId="0" borderId="47" xfId="28" applyFont="1" applyFill="1" applyBorder="1" applyAlignment="1">
      <alignment horizontal="center" vertical="center" readingOrder="2"/>
    </xf>
    <xf numFmtId="0" fontId="41" fillId="0" borderId="47" xfId="28" applyNumberFormat="1" applyFont="1" applyFill="1" applyBorder="1" applyAlignment="1">
      <alignment horizontal="center" vertical="center" readingOrder="2"/>
    </xf>
    <xf numFmtId="0" fontId="37" fillId="0" borderId="9" xfId="28" applyFont="1" applyFill="1" applyBorder="1" applyAlignment="1">
      <alignment horizontal="center" vertical="center" wrapText="1" readingOrder="2"/>
    </xf>
    <xf numFmtId="0" fontId="37" fillId="0" borderId="10" xfId="28" applyFont="1" applyFill="1" applyBorder="1" applyAlignment="1">
      <alignment horizontal="center" vertical="center" wrapText="1" readingOrder="2"/>
    </xf>
    <xf numFmtId="3" fontId="41" fillId="0" borderId="10" xfId="28" applyNumberFormat="1" applyFont="1" applyFill="1" applyBorder="1" applyAlignment="1">
      <alignment horizontal="center" vertical="center" readingOrder="2"/>
    </xf>
    <xf numFmtId="0" fontId="38" fillId="8" borderId="0" xfId="50" applyFont="1" applyFill="1" applyAlignment="1">
      <alignment vertical="center" readingOrder="2"/>
    </xf>
    <xf numFmtId="0" fontId="38" fillId="0" borderId="0" xfId="50" applyFont="1" applyAlignment="1">
      <alignment horizontal="right" vertical="center"/>
    </xf>
    <xf numFmtId="0" fontId="40" fillId="11" borderId="5" xfId="2" applyFont="1" applyFill="1" applyBorder="1" applyAlignment="1">
      <alignment horizontal="center" vertical="center"/>
    </xf>
    <xf numFmtId="0" fontId="37" fillId="0" borderId="47" xfId="28" applyFont="1" applyFill="1" applyBorder="1" applyAlignment="1">
      <alignment horizontal="center" vertical="center" wrapText="1"/>
    </xf>
    <xf numFmtId="164" fontId="41" fillId="0" borderId="47" xfId="28" applyNumberFormat="1" applyFont="1" applyFill="1" applyBorder="1" applyAlignment="1">
      <alignment horizontal="left" vertical="center"/>
    </xf>
    <xf numFmtId="0" fontId="40" fillId="11" borderId="6" xfId="2" applyFont="1" applyFill="1" applyBorder="1" applyAlignment="1">
      <alignment horizontal="center" vertical="center"/>
    </xf>
    <xf numFmtId="0" fontId="40" fillId="11" borderId="7" xfId="2" applyFont="1" applyFill="1" applyBorder="1" applyAlignment="1">
      <alignment horizontal="center" vertical="center"/>
    </xf>
    <xf numFmtId="0" fontId="40" fillId="11" borderId="8" xfId="2" applyFont="1" applyFill="1" applyBorder="1" applyAlignment="1">
      <alignment horizontal="center" vertical="center"/>
    </xf>
    <xf numFmtId="0" fontId="38" fillId="0" borderId="0" xfId="50" applyFont="1" applyAlignment="1">
      <alignment horizontal="right" vertical="center"/>
    </xf>
    <xf numFmtId="0" fontId="38" fillId="8" borderId="0" xfId="50" applyFont="1" applyFill="1" applyAlignment="1">
      <alignment horizontal="left" vertical="center"/>
    </xf>
    <xf numFmtId="0" fontId="38" fillId="8" borderId="0" xfId="50" applyFont="1" applyFill="1" applyAlignment="1">
      <alignment horizontal="right" vertical="center"/>
    </xf>
    <xf numFmtId="0" fontId="40" fillId="11" borderId="5" xfId="2" applyFont="1" applyFill="1" applyBorder="1" applyAlignment="1">
      <alignment horizontal="center" vertical="center"/>
    </xf>
    <xf numFmtId="0" fontId="38" fillId="8" borderId="0" xfId="50" applyFont="1" applyFill="1" applyAlignment="1">
      <alignment horizontal="center" vertical="center" readingOrder="2"/>
    </xf>
    <xf numFmtId="0" fontId="42" fillId="8" borderId="0" xfId="50" applyFont="1" applyFill="1" applyAlignment="1">
      <alignment horizontal="center" vertical="center" readingOrder="2"/>
    </xf>
    <xf numFmtId="0" fontId="38" fillId="8" borderId="0" xfId="50" applyFont="1" applyFill="1" applyAlignment="1">
      <alignment horizontal="left" vertical="center" readingOrder="2"/>
    </xf>
    <xf numFmtId="0" fontId="43" fillId="0" borderId="0" xfId="28" applyFont="1" applyBorder="1" applyAlignment="1">
      <alignment horizontal="center" vertical="center" readingOrder="2"/>
    </xf>
    <xf numFmtId="0" fontId="38" fillId="8" borderId="0" xfId="50" applyFont="1" applyFill="1" applyAlignment="1">
      <alignment horizontal="right" vertical="center" readingOrder="2"/>
    </xf>
    <xf numFmtId="1" fontId="50" fillId="15" borderId="28" xfId="66" applyNumberFormat="1" applyFont="1" applyFill="1" applyBorder="1" applyAlignment="1">
      <alignment horizontal="center" vertical="center" readingOrder="2"/>
    </xf>
    <xf numFmtId="1" fontId="50" fillId="15" borderId="34" xfId="66" applyNumberFormat="1" applyFont="1" applyFill="1" applyBorder="1" applyAlignment="1">
      <alignment horizontal="center" vertical="center" readingOrder="2"/>
    </xf>
    <xf numFmtId="1" fontId="50" fillId="15" borderId="33" xfId="66" applyNumberFormat="1" applyFont="1" applyFill="1" applyBorder="1" applyAlignment="1">
      <alignment horizontal="center" vertical="center" readingOrder="2"/>
    </xf>
    <xf numFmtId="1" fontId="50" fillId="15" borderId="35" xfId="66" applyNumberFormat="1" applyFont="1" applyFill="1" applyBorder="1" applyAlignment="1">
      <alignment horizontal="center" vertical="center" readingOrder="2"/>
    </xf>
    <xf numFmtId="1" fontId="50" fillId="15" borderId="33" xfId="66" applyNumberFormat="1" applyFont="1" applyFill="1" applyBorder="1" applyAlignment="1">
      <alignment horizontal="center" vertical="center" wrapText="1" readingOrder="2"/>
    </xf>
    <xf numFmtId="1" fontId="50" fillId="15" borderId="35" xfId="66" applyNumberFormat="1" applyFont="1" applyFill="1" applyBorder="1" applyAlignment="1">
      <alignment horizontal="center" vertical="center" wrapText="1" readingOrder="2"/>
    </xf>
    <xf numFmtId="1" fontId="50" fillId="15" borderId="27" xfId="66" applyNumberFormat="1" applyFont="1" applyFill="1" applyBorder="1" applyAlignment="1">
      <alignment horizontal="center" vertical="center" wrapText="1" readingOrder="2"/>
    </xf>
    <xf numFmtId="1" fontId="50" fillId="15" borderId="36" xfId="66" applyNumberFormat="1" applyFont="1" applyFill="1" applyBorder="1" applyAlignment="1">
      <alignment horizontal="center" vertical="center" wrapText="1" readingOrder="2"/>
    </xf>
    <xf numFmtId="1" fontId="50" fillId="15" borderId="27" xfId="66" applyNumberFormat="1" applyFont="1" applyFill="1" applyBorder="1" applyAlignment="1">
      <alignment horizontal="center" vertical="center" readingOrder="2"/>
    </xf>
    <xf numFmtId="1" fontId="50" fillId="15" borderId="36" xfId="66" applyNumberFormat="1" applyFont="1" applyFill="1" applyBorder="1" applyAlignment="1">
      <alignment horizontal="center" vertical="center" readingOrder="2"/>
    </xf>
    <xf numFmtId="1" fontId="50" fillId="15" borderId="24" xfId="66" applyNumberFormat="1" applyFont="1" applyFill="1" applyBorder="1" applyAlignment="1">
      <alignment horizontal="center" vertical="center" readingOrder="2"/>
    </xf>
    <xf numFmtId="1" fontId="50" fillId="15" borderId="0" xfId="66" applyNumberFormat="1" applyFont="1" applyFill="1" applyAlignment="1">
      <alignment horizontal="center" vertical="center" readingOrder="2"/>
    </xf>
    <xf numFmtId="1" fontId="50" fillId="15" borderId="16" xfId="66" applyNumberFormat="1" applyFont="1" applyFill="1" applyBorder="1" applyAlignment="1">
      <alignment horizontal="center" vertical="center" readingOrder="2"/>
    </xf>
    <xf numFmtId="0" fontId="51" fillId="16" borderId="14" xfId="67" applyFont="1" applyFill="1" applyBorder="1" applyAlignment="1">
      <alignment horizontal="center" vertical="center" wrapText="1"/>
    </xf>
    <xf numFmtId="0" fontId="51" fillId="16" borderId="0" xfId="67" applyFont="1" applyFill="1" applyAlignment="1">
      <alignment horizontal="center" vertical="center" wrapText="1"/>
    </xf>
    <xf numFmtId="4" fontId="50" fillId="13" borderId="27" xfId="66" applyNumberFormat="1" applyFont="1" applyFill="1" applyBorder="1" applyAlignment="1">
      <alignment horizontal="center" vertical="center" wrapText="1" readingOrder="2"/>
    </xf>
    <xf numFmtId="4" fontId="50" fillId="13" borderId="25" xfId="66" applyNumberFormat="1" applyFont="1" applyFill="1" applyBorder="1" applyAlignment="1">
      <alignment horizontal="center" vertical="center" wrapText="1" readingOrder="2"/>
    </xf>
    <xf numFmtId="4" fontId="50" fillId="13" borderId="28" xfId="66" applyNumberFormat="1" applyFont="1" applyFill="1" applyBorder="1" applyAlignment="1">
      <alignment horizontal="center" vertical="center" wrapText="1" readingOrder="2"/>
    </xf>
    <xf numFmtId="4" fontId="50" fillId="13" borderId="26" xfId="66" applyNumberFormat="1" applyFont="1" applyFill="1" applyBorder="1" applyAlignment="1">
      <alignment horizontal="center" vertical="center" wrapText="1" readingOrder="2"/>
    </xf>
    <xf numFmtId="4" fontId="50" fillId="13" borderId="34" xfId="66" applyNumberFormat="1" applyFont="1" applyFill="1" applyBorder="1" applyAlignment="1">
      <alignment horizontal="center" vertical="center" wrapText="1" readingOrder="2"/>
    </xf>
    <xf numFmtId="4" fontId="50" fillId="14" borderId="17" xfId="66" applyNumberFormat="1" applyFont="1" applyFill="1" applyBorder="1" applyAlignment="1">
      <alignment horizontal="center" vertical="center" wrapText="1" readingOrder="2"/>
    </xf>
    <xf numFmtId="4" fontId="50" fillId="14" borderId="30" xfId="66" applyNumberFormat="1" applyFont="1" applyFill="1" applyBorder="1" applyAlignment="1">
      <alignment horizontal="center" vertical="center" wrapText="1" readingOrder="2"/>
    </xf>
    <xf numFmtId="4" fontId="50" fillId="14" borderId="25" xfId="66" applyNumberFormat="1" applyFont="1" applyFill="1" applyBorder="1" applyAlignment="1">
      <alignment horizontal="center" vertical="center" wrapText="1" readingOrder="2"/>
    </xf>
    <xf numFmtId="4" fontId="50" fillId="14" borderId="18" xfId="66" applyNumberFormat="1" applyFont="1" applyFill="1" applyBorder="1" applyAlignment="1">
      <alignment horizontal="center" vertical="center" wrapText="1" readingOrder="2"/>
    </xf>
    <xf numFmtId="4" fontId="50" fillId="14" borderId="26" xfId="66" applyNumberFormat="1" applyFont="1" applyFill="1" applyBorder="1" applyAlignment="1">
      <alignment horizontal="center" vertical="center" wrapText="1" readingOrder="2"/>
    </xf>
    <xf numFmtId="4" fontId="50" fillId="14" borderId="34" xfId="66" applyNumberFormat="1" applyFont="1" applyFill="1" applyBorder="1" applyAlignment="1">
      <alignment horizontal="center" vertical="center" wrapText="1" readingOrder="2"/>
    </xf>
    <xf numFmtId="1" fontId="50" fillId="14" borderId="12" xfId="66" applyNumberFormat="1" applyFont="1" applyFill="1" applyBorder="1" applyAlignment="1">
      <alignment horizontal="center" vertical="center" readingOrder="2"/>
    </xf>
    <xf numFmtId="49" fontId="50" fillId="14" borderId="20" xfId="66" applyNumberFormat="1" applyFont="1" applyFill="1" applyBorder="1" applyAlignment="1">
      <alignment horizontal="center" vertical="center" readingOrder="2"/>
    </xf>
    <xf numFmtId="49" fontId="50" fillId="14" borderId="31" xfId="66" applyNumberFormat="1" applyFont="1" applyFill="1" applyBorder="1" applyAlignment="1">
      <alignment horizontal="center" vertical="center" readingOrder="2"/>
    </xf>
    <xf numFmtId="49" fontId="50" fillId="14" borderId="35" xfId="66" applyNumberFormat="1" applyFont="1" applyFill="1" applyBorder="1" applyAlignment="1">
      <alignment horizontal="center" vertical="center" readingOrder="2"/>
    </xf>
    <xf numFmtId="1" fontId="50" fillId="15" borderId="21" xfId="66" applyNumberFormat="1" applyFont="1" applyFill="1" applyBorder="1" applyAlignment="1">
      <alignment horizontal="center" vertical="center" readingOrder="2"/>
    </xf>
    <xf numFmtId="1" fontId="50" fillId="15" borderId="19" xfId="66" applyNumberFormat="1" applyFont="1" applyFill="1" applyBorder="1" applyAlignment="1">
      <alignment horizontal="center" vertical="center" readingOrder="2"/>
    </xf>
    <xf numFmtId="1" fontId="50" fillId="15" borderId="22" xfId="66" applyNumberFormat="1" applyFont="1" applyFill="1" applyBorder="1" applyAlignment="1">
      <alignment horizontal="center" vertical="center" readingOrder="2"/>
    </xf>
    <xf numFmtId="1" fontId="50" fillId="15" borderId="23" xfId="66" applyNumberFormat="1" applyFont="1" applyFill="1" applyBorder="1" applyAlignment="1">
      <alignment horizontal="center" vertical="center" readingOrder="2"/>
    </xf>
    <xf numFmtId="4" fontId="50" fillId="13" borderId="18" xfId="66" applyNumberFormat="1" applyFont="1" applyFill="1" applyBorder="1" applyAlignment="1">
      <alignment horizontal="center" vertical="center" readingOrder="2"/>
    </xf>
    <xf numFmtId="4" fontId="50" fillId="13" borderId="26" xfId="66" applyNumberFormat="1" applyFont="1" applyFill="1" applyBorder="1" applyAlignment="1">
      <alignment horizontal="center" vertical="center" readingOrder="2"/>
    </xf>
    <xf numFmtId="4" fontId="50" fillId="13" borderId="18" xfId="66" applyNumberFormat="1" applyFont="1" applyFill="1" applyBorder="1" applyAlignment="1">
      <alignment horizontal="center" vertical="center" wrapText="1" readingOrder="2"/>
    </xf>
    <xf numFmtId="4" fontId="50" fillId="13" borderId="19" xfId="66" applyNumberFormat="1" applyFont="1" applyFill="1" applyBorder="1" applyAlignment="1">
      <alignment horizontal="center" vertical="center" wrapText="1" readingOrder="2"/>
    </xf>
    <xf numFmtId="4" fontId="50" fillId="13" borderId="29" xfId="66" applyNumberFormat="1" applyFont="1" applyFill="1" applyBorder="1" applyAlignment="1">
      <alignment horizontal="center" vertical="center" wrapText="1" readingOrder="2"/>
    </xf>
    <xf numFmtId="1" fontId="50" fillId="14" borderId="28" xfId="66" applyNumberFormat="1" applyFont="1" applyFill="1" applyBorder="1" applyAlignment="1">
      <alignment horizontal="center" vertical="center" readingOrder="2"/>
    </xf>
    <xf numFmtId="1" fontId="50" fillId="14" borderId="34" xfId="66" applyNumberFormat="1" applyFont="1" applyFill="1" applyBorder="1" applyAlignment="1">
      <alignment horizontal="center" vertical="center" readingOrder="2"/>
    </xf>
    <xf numFmtId="0" fontId="46" fillId="8" borderId="11" xfId="66" applyFont="1" applyFill="1" applyBorder="1" applyAlignment="1">
      <alignment horizontal="right" vertical="center"/>
    </xf>
    <xf numFmtId="0" fontId="46" fillId="8" borderId="12" xfId="66" applyFont="1" applyFill="1" applyBorder="1" applyAlignment="1">
      <alignment horizontal="right" vertical="center"/>
    </xf>
    <xf numFmtId="0" fontId="46" fillId="8" borderId="13" xfId="66" applyFont="1" applyFill="1" applyBorder="1" applyAlignment="1">
      <alignment horizontal="right" vertical="center"/>
    </xf>
    <xf numFmtId="0" fontId="49" fillId="8" borderId="15" xfId="66" applyFont="1" applyFill="1" applyBorder="1" applyAlignment="1">
      <alignment horizontal="left" vertical="center"/>
    </xf>
    <xf numFmtId="166" fontId="49" fillId="8" borderId="0" xfId="66" applyNumberFormat="1" applyFont="1" applyFill="1" applyAlignment="1">
      <alignment horizontal="right" vertical="center"/>
    </xf>
    <xf numFmtId="4" fontId="50" fillId="13" borderId="17" xfId="66" applyNumberFormat="1" applyFont="1" applyFill="1" applyBorder="1" applyAlignment="1">
      <alignment horizontal="center" vertical="center" wrapText="1" readingOrder="2"/>
    </xf>
  </cellXfs>
  <cellStyles count="70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Comma 2" xfId="21" xr:uid="{731292B5-4E43-4536-B371-9E1BC8A3AC31}"/>
    <cellStyle name="Explanatory Text" xfId="12" builtinId="53" customBuiltin="1"/>
    <cellStyle name="Followed Hyperlink" xfId="64" builtinId="9" customBuiltin="1"/>
    <cellStyle name="Heading 1" xfId="1" builtinId="16" customBuiltin="1"/>
    <cellStyle name="Heading 2" xfId="9" builtinId="17" customBuiltin="1"/>
    <cellStyle name="Heading 2 2" xfId="25" xr:uid="{615E3D16-615A-4593-BD22-97BF7A712550}"/>
    <cellStyle name="Heading 3" xfId="10" builtinId="18" customBuiltin="1"/>
    <cellStyle name="Heading 4" xfId="11" builtinId="19" customBuiltin="1"/>
    <cellStyle name="Heading 4 2" xfId="26" xr:uid="{466AB22C-ECE7-41DF-B6FD-9688A1EA69B2}"/>
    <cellStyle name="Hyperlink" xfId="48" builtinId="8" customBuiltin="1"/>
    <cellStyle name="Hyperlink 2" xfId="30" xr:uid="{ED310A1B-0FB3-4A57-91FB-494F3273CD2A}"/>
    <cellStyle name="Hyperlink 3" xfId="35" xr:uid="{D7834ED0-21E8-47AB-A8A8-17B108BACBC4}"/>
    <cellStyle name="Hyperlink 4" xfId="46" xr:uid="{0B832323-2B7F-4A6B-BDF9-775FC7C99BA5}"/>
    <cellStyle name="Hyperlink 5" xfId="54" xr:uid="{5CF17421-52FF-429A-BEC8-79F44B43EF3B}"/>
    <cellStyle name="Hyperlink 6" xfId="69" xr:uid="{1F6E72F3-2592-42F8-9849-DCBE07397970}"/>
    <cellStyle name="Label" xfId="5" xr:uid="{00000000-0005-0000-0000-00000A000000}"/>
    <cellStyle name="Normal" xfId="0" builtinId="0" customBuiltin="1"/>
    <cellStyle name="Normal 10" xfId="51" xr:uid="{EBA7FE57-0E6A-4B57-BCC2-90C9E625D54E}"/>
    <cellStyle name="Normal 10 2" xfId="65" xr:uid="{1B0D236D-ACD0-4186-AC44-1700C3FA1125}"/>
    <cellStyle name="Normal 11" xfId="53" xr:uid="{CF7A5251-0B8D-41EC-A02B-4CEF269D7559}"/>
    <cellStyle name="Normal 12" xfId="55" xr:uid="{7A86837F-CF09-4DB9-8BA9-86CEBB43469E}"/>
    <cellStyle name="Normal 13" xfId="56" xr:uid="{32B6014E-4BEA-4F70-AD06-56DF414304E5}"/>
    <cellStyle name="Normal 13 2" xfId="62" xr:uid="{0E17E895-AB79-499D-956B-8B76017876ED}"/>
    <cellStyle name="Normal 14" xfId="57" xr:uid="{F4E9E8DD-00AD-4B4F-97B7-D09FA1291EEB}"/>
    <cellStyle name="Normal 15" xfId="58" xr:uid="{C97BD9B1-B4C4-482D-B24B-B8354944D90E}"/>
    <cellStyle name="Normal 16" xfId="67" xr:uid="{2B1B790C-F7AC-44B2-8BFA-DD8E3013F1F7}"/>
    <cellStyle name="Normal 2" xfId="19" xr:uid="{95F44FCB-F865-4A6F-B597-89B64C70FDAF}"/>
    <cellStyle name="Normal 2 2" xfId="28" xr:uid="{B6A37606-2D14-44B8-84EA-8E5163EA5D77}"/>
    <cellStyle name="Normal 2 3" xfId="39" xr:uid="{227BABC1-C11B-45F8-BE0F-C992606AEDB1}"/>
    <cellStyle name="Normal 2 4" xfId="41" xr:uid="{9F9ACDAA-AF0D-461D-AFB7-2AFDD1A982B9}"/>
    <cellStyle name="Normal 2 4 2" xfId="61" xr:uid="{FDCF5267-D5ED-462E-8186-64B775D98285}"/>
    <cellStyle name="Normal 2 5" xfId="32" xr:uid="{91A580B0-EA0F-431A-B8F0-805186FACBB1}"/>
    <cellStyle name="Normal 2 6" xfId="49" xr:uid="{708880AB-192F-4E67-8F75-D0362CEF2E5B}"/>
    <cellStyle name="Normal 2 7" xfId="50" xr:uid="{51E77037-80E7-4683-8327-C6F88C26841B}"/>
    <cellStyle name="Normal 2 8" xfId="63" xr:uid="{0A716D87-4A62-42F7-8FCB-461F92B3A646}"/>
    <cellStyle name="Normal 3" xfId="22" xr:uid="{3E707E0A-975F-4975-9F45-39CA84BC6319}"/>
    <cellStyle name="Normal 3 2" xfId="23" xr:uid="{98258C7F-55EF-412A-A427-DCE186D3A722}"/>
    <cellStyle name="Normal 3 3" xfId="20" xr:uid="{A75CCDA0-146E-4FFB-AD8D-99DB6600D92D}"/>
    <cellStyle name="Normal 3 3 2" xfId="36" xr:uid="{AE03D5C1-7E3F-4221-BB31-5DC16075E06B}"/>
    <cellStyle name="Normal 3 3 3" xfId="52" xr:uid="{2723C832-AADB-4743-92A7-CB017AA43776}"/>
    <cellStyle name="Normal 3 4" xfId="31" xr:uid="{0CEE395C-1F30-470D-9473-5BFF38C4B27F}"/>
    <cellStyle name="Normal 3 5" xfId="34" xr:uid="{F8E5F414-6587-4CB3-A0C7-DB5E1AB83412}"/>
    <cellStyle name="Normal 3 6" xfId="43" xr:uid="{EB1A76DD-AD4E-4B96-8561-4E5409D56DFA}"/>
    <cellStyle name="Normal 3 7" xfId="66" xr:uid="{145DA4CE-AD18-4447-9E99-FD15BCCFEC19}"/>
    <cellStyle name="Normal 4" xfId="27" xr:uid="{AE8C19D3-BD84-48F9-B665-14716A212E3C}"/>
    <cellStyle name="Normal 5" xfId="24" xr:uid="{3708F4D0-D44D-4FA0-9CBD-40CEC29A156B}"/>
    <cellStyle name="Normal 5 2" xfId="59" xr:uid="{BF18DD68-B675-4B7D-8900-B30905BF0B5B}"/>
    <cellStyle name="Normal 6" xfId="29" xr:uid="{52A676D1-AC58-4D05-928F-B37F72491A5C}"/>
    <cellStyle name="Normal 7" xfId="37" xr:uid="{551765BF-71DF-47CE-A8B2-7FF441ACFE8A}"/>
    <cellStyle name="Normal 8" xfId="44" xr:uid="{B5A27863-C3E6-4646-9CC8-15F9D422A858}"/>
    <cellStyle name="Normal 9" xfId="47" xr:uid="{3B42FBF7-A0AA-440D-BD02-460EA8BB94B3}"/>
    <cellStyle name="Normal 9 2" xfId="60" xr:uid="{7C0AED1F-4FF4-4870-80E1-195EEA90AC06}"/>
    <cellStyle name="Percent 2" xfId="40" xr:uid="{830D0009-51B2-4A61-A90B-B2F0B3B60655}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  <cellStyle name="Title 2" xfId="33" xr:uid="{0559DAA3-04EC-4861-91DB-03F980572246}"/>
    <cellStyle name="Title 3" xfId="42" xr:uid="{6792A6C8-7F9A-4AF0-96C7-2ACAB3444B62}"/>
    <cellStyle name="ارتباط تشعبي 2" xfId="68" xr:uid="{33E4F6D9-E0C4-4A11-85F4-214F62CF9C82}"/>
    <cellStyle name="عادي 2" xfId="38" xr:uid="{F8091C3F-39E5-4980-8B51-F16B26B286CA}"/>
    <cellStyle name="عادي 2 2" xfId="45" xr:uid="{8A685898-1D12-414B-AEB2-423DD0224BA5}"/>
  </cellStyles>
  <dxfs count="33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9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9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9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theme="0" tint="-4.9989318521683403E-2"/>
          <bgColor indexed="64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theme="0" tint="-4.9989318521683403E-2"/>
          <bgColor indexed="64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theme="0" tint="-4.9989318521683403E-2"/>
          <bgColor indexed="64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theme="0" tint="-4.9989318521683403E-2"/>
          <bgColor indexed="64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theme="0" tint="-4.9989318521683403E-2"/>
          <bgColor indexed="64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theme="0" tint="-4.9989318521683403E-2"/>
          <bgColor indexed="64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theme="0" tint="-4.9989318521683403E-2"/>
          <bgColor indexed="64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theme="0" tint="-4.9989318521683403E-2"/>
          <bgColor indexed="64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theme="0" tint="-4.9989318521683403E-2"/>
          <bgColor indexed="64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theme="0" tint="-4.9989318521683403E-2"/>
          <bgColor indexed="64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1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1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1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1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theme="0" tint="-4.9989318521683403E-2"/>
          <bgColor indexed="64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1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theme="0" tint="-4.9989318521683403E-2"/>
          <bgColor indexed="64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theme="0" tint="-4.9989318521683403E-2"/>
          <bgColor indexed="64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1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1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numFmt numFmtId="30" formatCode="@"/>
      <fill>
        <patternFill patternType="solid">
          <fgColor theme="0" tint="-4.9989318521683403E-2"/>
          <bgColor indexed="64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Frutiger LT Arabic 45 Light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numFmt numFmtId="30" formatCode="@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numFmt numFmtId="30" formatCode="@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numFmt numFmtId="30" formatCode="@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numFmt numFmtId="3" formatCode="#,##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medium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751"/>
        <name val="Frutiger LT Arabic 45 Light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751"/>
        <name val="Frutiger LT Arabic 45 Light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rgb="FF008751"/>
        <name val="Frutiger LT Arabic 45 Light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rgb="FF008751"/>
        <name val="Frutiger LT Arabic 45 Light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rgb="FF008751"/>
        <name val="Frutiger LT Arabic 45 Light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rgb="FF008751"/>
        <name val="Frutiger LT Arabic 45 Light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rgb="FF008751"/>
        <name val="Frutiger LT Arabic 45 Light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rgb="FF008751"/>
        <name val="Frutiger LT Arabic 45 Light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8751"/>
        <name val="Frutiger LT Arabic 45 Light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8751"/>
        <name val="Frutiger LT Arabic 45 Light"/>
        <scheme val="none"/>
      </font>
      <numFmt numFmtId="4" formatCode="#,##0.00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8751"/>
        <name val="Frutiger LT Arabic 45 Light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8751"/>
        <name val="Frutiger LT Arabic 45 Light"/>
        <scheme val="none"/>
      </font>
      <numFmt numFmtId="4" formatCode="#,##0.00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8751"/>
        <name val="Frutiger LT Arabic 45 Light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8751"/>
        <name val="Frutiger LT Arabic 45 Light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8751"/>
        <name val="Frutiger LT Arabic 45 Light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8751"/>
        <name val="Frutiger LT Arabic 45 Light"/>
        <scheme val="none"/>
      </font>
      <numFmt numFmtId="4" formatCode="#,##0.00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8751"/>
        <name val="Frutiger LT Arabic 45 Light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8751"/>
        <name val="Frutiger LT Arabic 45 Light"/>
        <scheme val="none"/>
      </font>
      <numFmt numFmtId="4" formatCode="#,##0.00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fill>
        <patternFill patternType="solid">
          <fgColor indexed="64"/>
          <bgColor rgb="FF008751"/>
        </patternFill>
      </fill>
      <alignment horizontal="center" vertical="center" textRotation="0" wrapText="1" indent="0" justifyLastLine="0" shrinkToFit="0" readingOrder="2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numFmt numFmtId="30" formatCode="@"/>
      <fill>
        <patternFill patternType="solid">
          <fgColor indexed="64"/>
          <bgColor rgb="FF008751"/>
        </patternFill>
      </fill>
      <alignment horizontal="center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0"/>
        <name val="itf rayat"/>
        <family val="3"/>
        <scheme val="minor"/>
      </font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  <border diagonalUp="0" diagonalDown="0">
        <left/>
        <right style="thick">
          <color theme="1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1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  <border diagonalUp="0" diagonalDown="0">
        <left/>
        <right style="thick">
          <color theme="1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1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1"/>
        </left>
        <right style="thick">
          <color theme="1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2"/>
    </dxf>
    <dxf>
      <font>
        <b/>
        <strike val="0"/>
        <outline val="0"/>
        <shadow val="0"/>
        <u val="none"/>
        <vertAlign val="baseline"/>
        <sz val="20"/>
        <color rgb="FF00565F"/>
        <name val="itf rayat"/>
        <family val="3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0"/>
        <name val="itf rayat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0"/>
        <name val="itf rayat"/>
        <family val="3"/>
        <scheme val="minor"/>
      </font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0"/>
        <name val="itf rayat"/>
        <family val="3"/>
        <scheme val="minor"/>
      </font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0"/>
        <name val="itf rayat"/>
        <family val="3"/>
        <scheme val="minor"/>
      </font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0"/>
        <name val="itf rayat"/>
        <family val="3"/>
        <scheme val="minor"/>
      </font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ck">
          <color theme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ck">
          <color theme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1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outline="0">
        <left style="thick">
          <color theme="1"/>
        </left>
        <right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ck">
          <color theme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1"/>
        </left>
        <right style="thick">
          <color theme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165" formatCode="#,##0.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165" formatCode="#,##0.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164" formatCode="[$-10B0000]B2dddd\ d\ mmmm\ yyyy\م;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ck">
          <color theme="1"/>
        </left>
        <right style="thick">
          <color theme="1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ck">
          <color theme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theme="1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20"/>
        <color rgb="FF00565F"/>
        <name val="itf rayat"/>
        <family val="3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0"/>
        <name val="itf rayat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164" formatCode="[$-10B0000]B2dddd\ d\ mmmm\ yyyy\م;@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565F"/>
        <name val="itf rayat"/>
        <family val="3"/>
        <scheme val="none"/>
      </font>
      <numFmt numFmtId="164" formatCode="[$-10B0000]B2dddd\ d\ mmmm\ yyyy\م;@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0"/>
        <name val="itf rayat"/>
        <family val="3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itf rayat"/>
        <family val="3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565F"/>
        <name val="itf rayat"/>
        <family val="3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0"/>
        <name val="itf rayat"/>
        <family val="3"/>
        <scheme val="minor"/>
      </font>
      <alignment horizontal="center" vertical="center" textRotation="0" wrapText="0" indent="0" justifyLastLine="0" shrinkToFit="0" readingOrder="0"/>
    </dxf>
    <dxf>
      <font>
        <color theme="0"/>
      </font>
      <fill>
        <patternFill>
          <bgColor rgb="FF015598"/>
        </patternFill>
      </fill>
    </dxf>
    <dxf>
      <border>
        <left style="thick">
          <color rgb="FF015598"/>
        </left>
        <right style="thick">
          <color rgb="FF015598"/>
        </right>
        <top style="thick">
          <color rgb="FF015598"/>
        </top>
        <bottom style="thick">
          <color rgb="FF015598"/>
        </bottom>
        <vertical style="thin">
          <color rgb="FF015598"/>
        </vertical>
        <horizontal style="thin">
          <color rgb="FF015598"/>
        </horizontal>
      </border>
    </dxf>
    <dxf>
      <font>
        <color theme="0"/>
      </font>
      <fill>
        <patternFill>
          <bgColor rgb="FF015598"/>
        </patternFill>
      </fill>
    </dxf>
    <dxf>
      <border>
        <left style="thick">
          <color rgb="FF015598"/>
        </left>
        <right style="thick">
          <color rgb="FF015598"/>
        </right>
        <top style="thick">
          <color rgb="FF015598"/>
        </top>
        <bottom style="thick">
          <color rgb="FF015598"/>
        </bottom>
        <vertical style="thin">
          <color rgb="FF015598"/>
        </vertical>
        <horizontal style="thin">
          <color rgb="FF015598"/>
        </horizontal>
      </border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border>
        <left style="thick">
          <color theme="1"/>
        </left>
        <right style="thick">
          <color theme="1"/>
        </right>
        <top style="thick">
          <color theme="1"/>
        </top>
        <bottom style="thick">
          <color theme="1"/>
        </bottom>
        <vertical style="thin">
          <color theme="1"/>
        </vertical>
        <horizontal style="thin">
          <color theme="1"/>
        </horizontal>
      </border>
    </dxf>
  </dxfs>
  <tableStyles count="4" defaultTableStyle="Table Style 1" defaultPivotStyle="PivotStyleLight16">
    <tableStyle name="Invisible" pivot="0" table="0" count="0" xr9:uid="{0E9B2E41-6100-42B4-B8FB-FB89CC93A513}"/>
    <tableStyle name="Table Style 1" pivot="0" count="3" xr9:uid="{2887102C-5F61-4BC9-97FA-8F45FFFC4D0A}">
      <tableStyleElement type="wholeTable" dxfId="332"/>
      <tableStyleElement type="headerRow" dxfId="331"/>
      <tableStyleElement type="totalRow" dxfId="330"/>
    </tableStyle>
    <tableStyle name="Table Style 1 2" pivot="0" count="2" xr9:uid="{1A470154-01EA-43A0-9E5A-13BCA053C894}">
      <tableStyleElement type="wholeTable" dxfId="329"/>
      <tableStyleElement type="headerRow" dxfId="328"/>
    </tableStyle>
    <tableStyle name="Table Style 1 3" pivot="0" count="2" xr9:uid="{A26D8108-8202-4915-AFA1-9E6D7A989837}">
      <tableStyleElement type="wholeTable" dxfId="327"/>
      <tableStyleElement type="headerRow" dxfId="326"/>
    </tableStyle>
  </tableStyles>
  <colors>
    <mruColors>
      <color rgb="FFBC6851"/>
      <color rgb="FFAA946F"/>
      <color rgb="FF883C4E"/>
      <color rgb="FF00565F"/>
      <color rgb="FF008751"/>
      <color rgb="FF00878E"/>
      <color rgb="FF00B46B"/>
      <color rgb="FFFFC7CE"/>
      <color rgb="FF01569A"/>
      <color rgb="FF0155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06/relationships/rdRichValueTypes" Target="richData/rdRichValueType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38" Type="http://schemas.openxmlformats.org/officeDocument/2006/relationships/customXml" Target="../customXml/item2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microsoft.com/office/2017/06/relationships/rdRichValue" Target="richData/rdrichvalue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37" Type="http://schemas.openxmlformats.org/officeDocument/2006/relationships/customXml" Target="../customXml/item21.xml"/><Relationship Id="rId5" Type="http://schemas.openxmlformats.org/officeDocument/2006/relationships/theme" Target="theme/theme1.xml"/><Relationship Id="rId15" Type="http://schemas.microsoft.com/office/2022/11/relationships/FeaturePropertyBag" Target="featurePropertyBag/featurePropertyBag.xml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36" Type="http://schemas.openxmlformats.org/officeDocument/2006/relationships/customXml" Target="../customXml/item20.xml"/><Relationship Id="rId10" Type="http://schemas.microsoft.com/office/2022/10/relationships/richValueRel" Target="richData/richValueRel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57732</xdr:colOff>
      <xdr:row>0</xdr:row>
      <xdr:rowOff>20584</xdr:rowOff>
    </xdr:from>
    <xdr:to>
      <xdr:col>3</xdr:col>
      <xdr:colOff>4743</xdr:colOff>
      <xdr:row>0</xdr:row>
      <xdr:rowOff>779417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A67EA622-7CBE-44A1-91EB-C32DDF2A1D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3964"/>
        <a:stretch/>
      </xdr:blipFill>
      <xdr:spPr>
        <a:xfrm>
          <a:off x="11161923657" y="20584"/>
          <a:ext cx="2909286" cy="758833"/>
        </a:xfrm>
        <a:prstGeom prst="rect">
          <a:avLst/>
        </a:prstGeom>
      </xdr:spPr>
    </xdr:pic>
    <xdr:clientData/>
  </xdr:twoCellAnchor>
  <xdr:oneCellAnchor>
    <xdr:from>
      <xdr:col>71</xdr:col>
      <xdr:colOff>415456</xdr:colOff>
      <xdr:row>0</xdr:row>
      <xdr:rowOff>49742</xdr:rowOff>
    </xdr:from>
    <xdr:ext cx="1464398" cy="692932"/>
    <xdr:pic>
      <xdr:nvPicPr>
        <xdr:cNvPr id="3" name="صورة 2">
          <a:extLst>
            <a:ext uri="{FF2B5EF4-FFF2-40B4-BE49-F238E27FC236}">
              <a16:creationId xmlns:a16="http://schemas.microsoft.com/office/drawing/2014/main" id="{4B0A2E41-C82A-4C2D-BD96-4734408969CD}"/>
            </a:ext>
            <a:ext uri="{147F2762-F138-4A5C-976F-8EAC2B608ADB}">
              <a16:predDERef xmlns:a16="http://schemas.microsoft.com/office/drawing/2014/main" pred="{53E06828-492C-4667-A6E2-46C7B433A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7205871" y="49742"/>
          <a:ext cx="1464398" cy="692932"/>
        </a:xfrm>
        <a:prstGeom prst="rect">
          <a:avLst/>
        </a:prstGeom>
      </xdr:spPr>
    </xdr:pic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XFControls"/>
  <bag type="XFComplement">
    <bagId k="XFControls">4</bagId>
  </bag>
  <bag type="DXFComplements" extRef="DXFComplementsMapperExtRef">
    <a k="MappedFeaturePropertyBags">
      <bagId>2</bagId>
      <bagId>5</bagId>
    </a>
  </bag>
</FeaturePropertyBag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6" xr:uid="{011B9B3B-6222-48DE-885C-941927CA7F3B}" name="Facilities_Masjids_Ver" displayName="Facilities_Masjids_Ver" ref="C5:D6" totalsRowShown="0" headerRowDxfId="325" dataDxfId="324" headerRowCellStyle="Normal 2 2" dataCellStyle="Normal 2 2">
  <tableColumns count="2">
    <tableColumn id="1" xr3:uid="{49C66B24-25C0-4B74-B754-7626B6140F04}" name="رمز النموذج" dataDxfId="323" dataCellStyle="Normal 2 2"/>
    <tableColumn id="2" xr3:uid="{3CAFBDCD-DAF3-4B01-9CA4-2234EFFCC781}" name="رقم الإصدار" dataDxfId="322" dataCellStyle="Normal 2 2"/>
  </tableColumns>
  <tableStyleInfo name="Table Style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8" xr:uid="{E348AE30-A14E-4646-BE31-1907217E14E3}" name="Facilities_Masjids_Date" displayName="Facilities_Masjids_Date" ref="AZ5:AZ6" totalsRowShown="0" headerRowDxfId="321" dataDxfId="320" headerRowCellStyle="Normal 2 2" dataCellStyle="Normal 2 2">
  <tableColumns count="1">
    <tableColumn id="1" xr3:uid="{ACA9FCB0-F648-4F70-AF99-0C85CACF3D64}" name="تاريخ آخر تحديث" dataDxfId="319" dataCellStyle="Normal 2 2"/>
  </tableColumns>
  <tableStyleInfo name="Table Style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047256D-0357-4599-8779-A6D6445ABB73}" name="Facilities_Masjids" displayName="Facilities_Masjids" ref="C9:AZ45" totalsRowShown="0" headerRowDxfId="318" dataDxfId="317" headerRowCellStyle="Normal 2 2">
  <tableColumns count="50">
    <tableColumn id="1" xr3:uid="{D79BF7AF-564F-442B-9D34-3B4708C4F2A1}" name="م" dataDxfId="316" dataCellStyle="Normal 2 2">
      <calculatedColumnFormula>ROW()-ROW(Facilities_Masjids[[#Headers],[م]])</calculatedColumnFormula>
    </tableColumn>
    <tableColumn id="2" xr3:uid="{07251E6E-3AA2-4E7F-9F7E-04DE65353ADD}" name="المنطقة الإدارية" dataDxfId="315" dataCellStyle="Normal 2 2">
      <calculatedColumnFormula>_xlfn.XLOOKUP(Facilities_Masjids[[#This Row],[المدينة]],Saudi_Regions_Cities[المدينة],Saudi_Regions_Cities[المنطقة الإدارية],"")</calculatedColumnFormula>
    </tableColumn>
    <tableColumn id="21" xr3:uid="{1AA0BCAE-66CC-4E10-B3D4-671218209D39}" name="رمز المدينة" dataDxfId="314" dataCellStyle="Normal 2 2">
      <calculatedColumnFormula>_xlfn.XLOOKUP(Facilities_Masjids[[#This Row],[المدينة]],Saudi_Regions_Cities[المدينة],Saudi_Regions_Cities[رمز المدينة],"")</calculatedColumnFormula>
    </tableColumn>
    <tableColumn id="8" xr3:uid="{617B337F-E60E-45C0-85C0-027725430942}" name="المدينة" dataDxfId="313" dataCellStyle="Normal 2 2"/>
    <tableColumn id="19" xr3:uid="{BC4D8E4D-16BC-4806-99D9-D793D30F2A69}" name="الحي" dataDxfId="312" dataCellStyle="Normal 2 2"/>
    <tableColumn id="3" xr3:uid="{875C39D4-2004-4C7C-B7A0-797DE4422895}" name="رمز تصنيف المرفق" dataDxfId="311" dataCellStyle="Normal 2 2">
      <calculatedColumnFormula>_xlfn.XLOOKUP(Facilities_Masjids[[#This Row],[تصنيف المرفق]],Facility_Classifications[تصنيف المرفق],Facility_Classifications[رمز تصنيف المرفق],"")</calculatedColumnFormula>
    </tableColumn>
    <tableColumn id="12" xr3:uid="{E9EB3186-B3F6-45A9-A413-80C61F6128D7}" name="تصنيف المرفق" dataDxfId="310" dataCellStyle="Normal 2 2"/>
    <tableColumn id="52" xr3:uid="{8A4EA82A-D085-4CB8-ADC0-4AE1A7A39F15}" name="رمز المرفق" dataDxfId="309" dataCellStyle="Normal 2 2">
      <calculatedColumnFormula>VALUE(
Facilities_Masjids[[#This Row],[رمز تصنيف المرفق]]&amp;
TEXT(
IF(Facilities_Masjids[[#This Row],[المساحة الكلية للمرفق (م2)]]="",
COUNTA(Facilities_Masjids[المساحة الكلية للمرفق (م2)])+COUNTBLANK(INDEX(Facilities_Masjids[المساحة الكلية للمرفق (م2)],1):INDEX(Facilities_Masjids[المساحة الكلية للمرفق (م2)],ROW()-ROW(Facilities_Masjids[[#Headers],[رمز المرفق]]))),
IFERROR(
IF(COUNTIF(Facilities_Masjids[المساحة الكلية للمرفق (م2)],Facilities_Masjids[[#This Row],[المساحة الكلية للمرفق (م2)]])=1,
_xlfn.RANK.EQ(Facilities_Masjids[[#This Row],[المساحة الكلية للمرفق (م2)]],Facilities_Masjids[المساحة الكلية للمرفق (م2)]),
_xlfn.RANK.EQ(Facilities_Masjids[[#This Row],[المساحة الكلية للمرفق (م2)]],Facilities_Masjids[المساحة الكلية للمرفق (م2)])+
COUNTIF(INDEX(Facilities_Masjids[المساحة الكلية للمرفق (م2)],1):INDEX(Facilities_Masjids[المساحة الكلية للمرفق (م2)],ROW()-ROW(Facilities_Masjids[[#Headers],[رمز المرفق]])),Facilities_Masjids[[#This Row],[المساحة الكلية للمرفق (م2)]])-1),
0)),
"00"))</calculatedColumnFormula>
    </tableColumn>
    <tableColumn id="13" xr3:uid="{F20D2291-0044-496B-A3B5-6D48DACFA449}" name="اسم المرفق" dataDxfId="308" dataCellStyle="Normal 2 2"/>
    <tableColumn id="7" xr3:uid="{0261D5F9-87F4-44E4-99B4-0AEF975A3169}" name="Facility Name" dataDxfId="307" dataCellStyle="Normal 2 2"/>
    <tableColumn id="22" xr3:uid="{6EB81153-2D42-402A-9613-A0EEFC8E1DD7}" name="تاريخ إنشاء المرفق" dataDxfId="306" dataCellStyle="Normal 2 2"/>
    <tableColumn id="5" xr3:uid="{0D93B542-681A-4928-9FD5-B76D061C05D4}" name="رابط الوصول للمرفق" dataDxfId="305" dataCellStyle="Normal 2 2"/>
    <tableColumn id="4" xr3:uid="{217BA6DE-F298-447A-AE9C-3B25CE024E3D}" name="دائرة العرض (Latitude - N)" dataDxfId="304" dataCellStyle="Normal 2 2"/>
    <tableColumn id="18" xr3:uid="{458D90F4-F6B1-429F-A99C-23C6622695E6}" name="خط الطول (Longitude - E)" dataDxfId="303" dataCellStyle="Normal 2 2"/>
    <tableColumn id="15" xr3:uid="{285E431D-BBA8-4ACF-BB6F-22B482F6159C}" name="المساحة الكلية للمرفق (م2)" dataDxfId="302" dataCellStyle="Normal 2 2"/>
    <tableColumn id="16" xr3:uid="{5336E0FE-B8C0-46DF-AE5C-16B8F81EEAFA}" name="مساحة مصلى الرجال (م2)" dataDxfId="301" dataCellStyle="Normal 2 2"/>
    <tableColumn id="23" xr3:uid="{024A813B-9CD6-4497-8EB3-A42D8A752410}" name="مساحة مصلى النساء (م2)" dataDxfId="300" dataCellStyle="Normal 2 2"/>
    <tableColumn id="36" xr3:uid="{611607E9-1FB9-421F-B7E1-B4739E365AD3}" name="سعة مواقف السيارات (سيارة)" dataDxfId="299" dataCellStyle="Normal 2 2"/>
    <tableColumn id="50" xr3:uid="{3D57733B-7DE6-4823-883B-9CE367C2CF92}" name="عدد الأبواب" dataDxfId="298" dataCellStyle="Normal 2 2"/>
    <tableColumn id="51" xr3:uid="{2E8BD63D-E45B-4BCC-ADFF-126BB04BB461}" name="عدد النوافذ" dataDxfId="297" dataCellStyle="Normal 2 2"/>
    <tableColumn id="20" xr3:uid="{C3A55077-3A0B-4D52-BEDB-479502A91E76}" name="إجمالي عدد الصفوف" dataDxfId="296" dataCellStyle="Normal 2 2">
      <calculatedColumnFormula>SUM(Facilities_Masjids[[#This Row],[عدد صفوف الرجال]:[عدد صفوف النساء]])</calculatedColumnFormula>
    </tableColumn>
    <tableColumn id="10" xr3:uid="{F6DCFCAE-B0FB-4BA3-AEB8-A770A5E0F1D1}" name="عدد صفوف الرجال" dataDxfId="295" dataCellStyle="Normal 2 2"/>
    <tableColumn id="11" xr3:uid="{938AA774-3000-4EFB-A931-FD40538F71EF}" name="عدد صفوف النساء" dataDxfId="294" dataCellStyle="Normal 2 2"/>
    <tableColumn id="14" xr3:uid="{1AC5F042-F6DC-41A9-93A9-3F20FE9CD774}" name="إجمالي سعة المرفق من المصلين / المصليات" dataDxfId="293" dataCellStyle="Normal 2 2">
      <calculatedColumnFormula>SUM(Facilities_Masjids[[#This Row],[سعة المرفق من المصلين]:[سعة المرفق من المصليات]])</calculatedColumnFormula>
    </tableColumn>
    <tableColumn id="25" xr3:uid="{F4FD2C45-12A7-4EB7-9BC4-66E4F5C15A4F}" name="سعة المرفق من المصلين" dataDxfId="292" dataCellStyle="Normal 2 2"/>
    <tableColumn id="26" xr3:uid="{FF75E640-DE86-453D-9322-C00684BFBA90}" name="سعة المرفق من المصليات" dataDxfId="291" dataCellStyle="Normal 2 2"/>
    <tableColumn id="27" xr3:uid="{E2AC9F11-6CEA-473D-AEFF-F41533679DF1}" name="إجمالي عدد دورات المياه" dataDxfId="290" dataCellStyle="Normal 2 2">
      <calculatedColumnFormula>SUM(Facilities_Masjids[[#This Row],[إجمالي عدد دورات مياه الرجال]],Facilities_Masjids[[#This Row],[إجمالي عدد دورات مياه النساء]])</calculatedColumnFormula>
    </tableColumn>
    <tableColumn id="34" xr3:uid="{43ECEC6C-72EE-4898-80DD-AC5327ABC4C4}" name="عدد دورات مياه المعاقين / المعاقات" dataDxfId="289" dataCellStyle="Normal 2 2">
      <calculatedColumnFormula>SUM(Facilities_Masjids[[#This Row],[عدد دورات مياه المعاقين من الرجال]],Facilities_Masjids[[#This Row],[عدد دورات مياه المعاقات من النساء]])</calculatedColumnFormula>
    </tableColumn>
    <tableColumn id="28" xr3:uid="{47C88A76-8BE7-49F3-8FEF-D30C22B2E654}" name="إجمالي عدد دورات مياه الرجال" dataDxfId="288" dataCellStyle="Normal 2 2"/>
    <tableColumn id="32" xr3:uid="{AC6C3EA8-1673-4238-918C-3B8A25C806AF}" name="عدد دورات مياه المعاقين من الرجال" dataDxfId="287" dataCellStyle="Normal 2 2"/>
    <tableColumn id="33" xr3:uid="{E53F21B5-868A-4513-B117-10C2ADB18D8D}" name="إجمالي عدد دورات مياه النساء" dataDxfId="286" dataCellStyle="Normal 2 2"/>
    <tableColumn id="29" xr3:uid="{B0DE84A9-D161-4763-8066-644378EC7D4C}" name="عدد دورات مياه المعاقات من النساء" dataDxfId="285" dataCellStyle="Normal 2 2"/>
    <tableColumn id="30" xr3:uid="{BBD89851-27FF-48B9-9855-FA7E000264D8}" name="إجمالي عدد المواضئ" dataDxfId="284" dataCellStyle="Normal 2 2">
      <calculatedColumnFormula>SUM(Facilities_Masjids[[#This Row],[عدد مواضئ الرجال]:[عدد مواضئ النساء]])</calculatedColumnFormula>
    </tableColumn>
    <tableColumn id="35" xr3:uid="{6962FAC8-A793-440E-BA02-1A7A53B415CC}" name="عدد مواضئ الرجال" dataDxfId="283" dataCellStyle="Normal 2 2"/>
    <tableColumn id="31" xr3:uid="{024F1304-C20F-42D2-8BCB-C6F5040287E4}" name="عدد مواضئ النساء" dataDxfId="282" dataCellStyle="Normal 2 2"/>
    <tableColumn id="17" xr3:uid="{082B19A4-AA82-4A92-A4A6-08C97C442627}" name="إجمالي عدد المصاحف" dataDxfId="281" dataCellStyle="Normal 2 2">
      <calculatedColumnFormula>SUM(Facilities_Masjids[[#This Row],[عدد مصاحف الرجال]:[عدد مصاحف النساء]])</calculatedColumnFormula>
    </tableColumn>
    <tableColumn id="37" xr3:uid="{5F1199DE-8871-4F70-AD8A-9EEF0480BE30}" name="عدد مصاحف الرجال" dataDxfId="280" dataCellStyle="Normal 2 2"/>
    <tableColumn id="38" xr3:uid="{4C2F5FB3-A37E-43BF-A790-1464DEDC95F1}" name="عدد مصاحف النساء" dataDxfId="279" dataCellStyle="Normal 2 2"/>
    <tableColumn id="39" xr3:uid="{2F752126-DCD2-4438-B572-ED399F9CDC97}" name="إجمالي عدد حاملات المصاحف" dataDxfId="278" dataCellStyle="Normal 2 2">
      <calculatedColumnFormula>SUM(Facilities_Masjids[[#This Row],[عدد حاملات المصاحف للرجال]:[عدد حاملات المصاحف للنساء]])</calculatedColumnFormula>
    </tableColumn>
    <tableColumn id="41" xr3:uid="{F088AA70-328A-4A75-8912-DDF4E4434660}" name="عدد حاملات المصاحف للرجال" dataDxfId="277" dataCellStyle="Normal 2 2"/>
    <tableColumn id="42" xr3:uid="{0E48C39E-0CC9-47F8-A269-3BE0C302D96E}" name="عدد حاملات المصاحف للنساء" dataDxfId="276" dataCellStyle="Normal 2 2"/>
    <tableColumn id="43" xr3:uid="{3A2F13FE-9408-4FC6-8E59-4A3D7A63865C}" name="إجمالي عدد دواليب المصاحف" dataDxfId="275" dataCellStyle="Normal 2 2">
      <calculatedColumnFormula>SUM(Facilities_Masjids[[#This Row],[عدد دواليب المصاحف للرجال]:[عدد دواليب المصاحف للنساء]])</calculatedColumnFormula>
    </tableColumn>
    <tableColumn id="44" xr3:uid="{A704634B-35BA-4507-9117-9DC3F07FD718}" name="عدد دواليب المصاحف للرجال" dataDxfId="274" dataCellStyle="Normal 2 2"/>
    <tableColumn id="45" xr3:uid="{7536D935-F38F-46A0-B182-4FD5E8F294F5}" name="عدد دواليب المصاحف للنساء" dataDxfId="273" dataCellStyle="Normal 2 2"/>
    <tableColumn id="40" xr3:uid="{F220132F-D50D-415F-8B69-C1C4051AB4DE}" name="إجمالي عدد الكراسي" dataDxfId="272" dataCellStyle="Normal 2 2">
      <calculatedColumnFormula>SUM(Facilities_Masjids[[#This Row],[عدد الكراسي للرجال]:[عدد الكراسي للنساء]])</calculatedColumnFormula>
    </tableColumn>
    <tableColumn id="46" xr3:uid="{873170F8-8116-42C5-A811-9DA7412331DA}" name="عدد الكراسي للرجال" dataDxfId="271" dataCellStyle="Normal 2 2"/>
    <tableColumn id="47" xr3:uid="{C30F766D-C97E-4891-B154-83B25BE40E8A}" name="عدد الكراسي للنساء" dataDxfId="270" dataCellStyle="Normal 2 2"/>
    <tableColumn id="6" xr3:uid="{FFA08DFC-E7BD-4E60-88EF-AFB0E904E6A9}" name="يوجد سكن للإمام؟" dataDxfId="269" dataCellStyle="Normal 2 2"/>
    <tableColumn id="9" xr3:uid="{6E901889-8B70-4A5D-A038-19CB6A595111}" name="يوجد سكن للمؤذن؟" dataDxfId="268" dataCellStyle="Normal 2 2"/>
    <tableColumn id="24" xr3:uid="{F68EA5C5-BBA5-409F-9E74-4E9F700F4145}" name="يوجد سكن للخادم؟" dataDxfId="267" dataCellStyle="Normal 2 2"/>
  </tableColumns>
  <tableStyleInfo name="Table Style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ADA7F3-856D-4166-89BC-4ADDEF4C1AC9}" name="Saudi_Regions" displayName="Saudi_Regions" ref="C7:G20" totalsRowShown="0" headerRowDxfId="266" dataDxfId="265">
  <tableColumns count="5">
    <tableColumn id="1" xr3:uid="{47C05552-98F7-47B1-8D7C-5202C0E494FF}" name="رمز المنطقة الإدارية" dataDxfId="264">
      <calculatedColumnFormula>ROW()-ROW(Saudi_Regions[[#Headers],[رمز المنطقة الإدارية]])</calculatedColumnFormula>
    </tableColumn>
    <tableColumn id="3" xr3:uid="{B8C74C06-8DCC-42BB-A436-CDB44DDF2892}" name="المنطقة الإدارية" dataDxfId="263"/>
    <tableColumn id="2" xr3:uid="{4C201733-AF31-4451-A5FD-8F36E151A190}" name="عاصمة المنطقة الإدارية" dataDxfId="262" dataCellStyle="Normal 10"/>
    <tableColumn id="4" xr3:uid="{66479A02-946A-42EF-9A67-DC822F234349}" name="دائرة العرض (Latitude - N)" dataDxfId="261">
      <calculatedColumnFormula>_xlfn.XLOOKUP(Saudi_Regions[[#This Row],[عاصمة المنطقة الإدارية]],Saudi_Regions_Cities[المدينة],Saudi_Regions_Cities[دائرة العرض (Latitude - N)],"")</calculatedColumnFormula>
    </tableColumn>
    <tableColumn id="5" xr3:uid="{3E9D294D-4864-46C3-AEBB-87C1C5C893F3}" name="خط الطول (Longitude - E)" dataDxfId="260">
      <calculatedColumnFormula>_xlfn.XLOOKUP(Saudi_Regions[[#This Row],[عاصمة المنطقة الإدارية]],Saudi_Regions_Cities[المدينة],Saudi_Regions_Cities[خط الطول (Longitude - E)],"")</calculatedColumnFormula>
    </tableColumn>
  </tableColumns>
  <tableStyleInfo name="Table Style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FF0D1B-7234-48EE-9845-31DE23953E74}" name="Saudi_Regions_Cities" displayName="Saudi_Regions_Cities" ref="I7:N300" totalsRowShown="0" headerRowDxfId="259" dataDxfId="258">
  <tableColumns count="6">
    <tableColumn id="1" xr3:uid="{18848FF2-40AA-4735-91DE-1B8342545A26}" name="رمز المنطقة الإدارية" dataDxfId="257">
      <calculatedColumnFormula>_xlfn.XLOOKUP(Saudi_Regions_Cities[[#This Row],[المنطقة الإدارية]],Saudi_Regions[المنطقة الإدارية],Saudi_Regions[رمز المنطقة الإدارية],"")</calculatedColumnFormula>
    </tableColumn>
    <tableColumn id="2" xr3:uid="{FE070D9A-3E5C-42E1-9AE7-FA68BED23B88}" name="المنطقة الإدارية" dataDxfId="256"/>
    <tableColumn id="5" xr3:uid="{A364A3F4-56C7-4320-98C0-9AC54D5CFE2D}" name="رمز المدينة" dataDxfId="255">
      <calculatedColumnFormula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calculatedColumnFormula>
    </tableColumn>
    <tableColumn id="6" xr3:uid="{65AF29E8-3125-4943-BA26-CEF55A515AAA}" name="المدينة" dataDxfId="254"/>
    <tableColumn id="9" xr3:uid="{3D77A90F-FE06-459A-B930-E97CFB0B0CBE}" name="دائرة العرض (Latitude - N)" dataDxfId="253"/>
    <tableColumn id="10" xr3:uid="{0063E770-18AF-4CF9-ADAC-3A3667316A5C}" name="خط الطول (Longitude - E)" dataDxfId="252"/>
  </tableColumns>
  <tableStyleInfo name="Table Style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FEDA3D-C7A2-4090-94BB-B2B79BA6DB8F}" name="Saudi_Regions_Cities_Matrix" displayName="Saudi_Regions_Cities_Matrix" ref="P7:AB72" totalsRowShown="0" headerRowDxfId="251" dataDxfId="250">
  <tableColumns count="13">
    <tableColumn id="1" xr3:uid="{6E312E40-B2A9-4C45-9F37-19AEB1D7CFAB}" name="منطقة الرياض" dataDxfId="249">
      <calculatedColumnFormula array="1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calculatedColumnFormula>
    </tableColumn>
    <tableColumn id="2" xr3:uid="{459E1162-1C7E-4FCC-82D1-53085A29F325}" name="منطقة مكة المكرمة" dataDxfId="248">
      <calculatedColumnFormula array="1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calculatedColumnFormula>
    </tableColumn>
    <tableColumn id="3" xr3:uid="{F7D94865-AC07-44F1-B90D-B36B3D258F33}" name="المنطقة الشرقية" dataDxfId="247">
      <calculatedColumnFormula array="1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calculatedColumnFormula>
    </tableColumn>
    <tableColumn id="4" xr3:uid="{A712FCBD-2637-4A7E-B8B3-8FCE9DA3EFDF}" name="منطقة المدينة المنورة" dataDxfId="246">
      <calculatedColumnFormula array="1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calculatedColumnFormula>
    </tableColumn>
    <tableColumn id="5" xr3:uid="{B4399AB3-4E13-45E3-8EBB-10B6CB92B7B3}" name="منطقة عسير" dataDxfId="245">
      <calculatedColumnFormula array="1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calculatedColumnFormula>
    </tableColumn>
    <tableColumn id="6" xr3:uid="{839E6D11-8E64-4E80-AE72-1EE5F1F6DC08}" name="منطقة جازان" dataDxfId="244">
      <calculatedColumnFormula array="1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calculatedColumnFormula>
    </tableColumn>
    <tableColumn id="7" xr3:uid="{94DFB03F-3DF0-4F1A-8581-CC11E96647E1}" name="منطقة القصيم" dataDxfId="243">
      <calculatedColumnFormula array="1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calculatedColumnFormula>
    </tableColumn>
    <tableColumn id="8" xr3:uid="{55AA2A3C-522B-4F39-9E0F-ED3950E2EB33}" name="منطقة تبوك" dataDxfId="242">
      <calculatedColumnFormula array="1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calculatedColumnFormula>
    </tableColumn>
    <tableColumn id="9" xr3:uid="{DC70C31B-A472-445E-9C3F-F3E0BCAFB640}" name="منطقة حائل" dataDxfId="241">
      <calculatedColumnFormula array="1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calculatedColumnFormula>
    </tableColumn>
    <tableColumn id="10" xr3:uid="{F8304BE2-40EA-4437-8338-3283DEF84367}" name="منطقة الجوف" dataDxfId="240">
      <calculatedColumnFormula array="1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calculatedColumnFormula>
    </tableColumn>
    <tableColumn id="11" xr3:uid="{344BE298-1D3D-429B-AD93-8A2A22572BB8}" name="منطقة نجران" dataDxfId="239">
      <calculatedColumnFormula array="1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calculatedColumnFormula>
    </tableColumn>
    <tableColumn id="12" xr3:uid="{BA408EBF-5641-41AF-B239-B143B6806AAD}" name="منطقة الحدود الشمالية" dataDxfId="238">
      <calculatedColumnFormula array="1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calculatedColumnFormula>
    </tableColumn>
    <tableColumn id="13" xr3:uid="{06E6B2B0-F576-4586-9790-DCA8DD515B9E}" name="منطقة الباحة" dataDxfId="237">
      <calculatedColumnFormula array="1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calculatedColumnFormula>
    </tableColumn>
  </tableColumns>
  <tableStyleInfo name="Table Style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583E78C-70A9-4E1C-94BE-E5DB43E11F3D}" name="Facility_Classifications" displayName="Facility_Classifications" ref="C8:E13" totalsRowShown="0" headerRowDxfId="236" dataDxfId="235">
  <tableColumns count="3">
    <tableColumn id="1" xr3:uid="{DDEA7DC7-83F7-499E-A504-6EF8DD89B01C}" name="رمز تصنيف المرفق" dataDxfId="234">
      <calculatedColumnFormula>ROW()-ROW(Facility_Classifications[[#Headers],[رمز تصنيف المرفق]])</calculatedColumnFormula>
    </tableColumn>
    <tableColumn id="2" xr3:uid="{AEC56619-03F3-45F9-AB79-618798142D73}" name="تصنيف المرفق" dataDxfId="233" dataCellStyle="Normal 10 2"/>
    <tableColumn id="3" xr3:uid="{A50F403B-729B-416B-A485-315DFDDE4BD1}" name="عدد المرافق" dataDxfId="232">
      <calculatedColumnFormula>COUNTIF(Facilities_Masjids[تصنيف المرفق],Facility_Classifications[[#This Row],[تصنيف المرفق]])</calculatedColumnFormula>
    </tableColumn>
  </tableColumns>
  <tableStyleInfo name="Table Style 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2EBE7A7-8B18-4AC0-973F-52A352FC899A}" name="Facilities_Masjids_By_Gender" displayName="Facilities_Masjids_By_Gender" ref="I8:S80" totalsRowShown="0" headerRowDxfId="231" dataDxfId="230" headerRowCellStyle="Normal 2 2">
  <tableColumns count="11">
    <tableColumn id="13" xr3:uid="{8AA5C50C-9C4E-4436-9D2F-1D1B5E78F09A}" name="اسم المرفق" dataDxfId="229" dataCellStyle="Normal 2 2">
      <calculatedColumnFormula array="1">IFERROR(
INDEX(Facilities_Masjids[اسم المرفق],
ROUNDUP((ROW()-ROW(Facilities_Masjids_By_Gender[[#Headers],[اسم المرفق]]))/COUNTA(Gender[جنس المستفيد]),0)),
"")</calculatedColumnFormula>
    </tableColumn>
    <tableColumn id="53" xr3:uid="{4F0EAC82-B38B-440F-BF5D-A1B3EF51EF0A}" name="جنس المستفيد" dataDxfId="228" dataCellStyle="Normal 2 2">
      <calculatedColumnFormula array="1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calculatedColumnFormula>
    </tableColumn>
    <tableColumn id="20" xr3:uid="{62B0744F-21C8-4784-91A3-163D713D0F6A}" name="عدد صفوف الصلاة" dataDxfId="227" dataCellStyle="Normal 2 2">
      <calculatedColumnFormula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calculatedColumnFormula>
    </tableColumn>
    <tableColumn id="14" xr3:uid="{3C25F1C3-6C6C-4233-8F1C-4542E87E05B4}" name="الطاقة الاستيعابية للمرفق من المصلين / المصليات" dataDxfId="226" dataCellStyle="Normal 2 2">
      <calculatedColumnFormula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calculatedColumnFormula>
    </tableColumn>
    <tableColumn id="27" xr3:uid="{7EBA9F46-EC00-4B75-B069-A8B8491E7C23}" name="إجمالي عدد دورات المياه" dataDxfId="225" dataCellStyle="Normal 2 2">
      <calculatedColumnFormula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calculatedColumnFormula>
    </tableColumn>
    <tableColumn id="34" xr3:uid="{7AC235F4-E968-4D7D-8D5C-003833616B55}" name="عدد دورات مياه المعاقين / المعاقات" dataDxfId="224" dataCellStyle="Normal 2 2">
      <calculatedColumnFormula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calculatedColumnFormula>
    </tableColumn>
    <tableColumn id="30" xr3:uid="{6923DE6B-ED57-4469-8DD5-9A29D33DAB20}" name="عدد مواضئ المرفق" dataDxfId="223" dataCellStyle="Normal 2 2">
      <calculatedColumnFormula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calculatedColumnFormula>
    </tableColumn>
    <tableColumn id="17" xr3:uid="{DDA4715C-D37C-4B38-A994-6190F3D0C48A}" name="عدد مصاحف المرفق" dataDxfId="222" dataCellStyle="Normal 2 2">
      <calculatedColumnFormula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calculatedColumnFormula>
    </tableColumn>
    <tableColumn id="39" xr3:uid="{AB82A493-7A37-4928-8CEA-F73863B95F3E}" name="عدد حاملات مصاحف المرفق" dataDxfId="221" dataCellStyle="Normal 2 2">
      <calculatedColumnFormula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calculatedColumnFormula>
    </tableColumn>
    <tableColumn id="43" xr3:uid="{6298FB03-CBF0-47E3-BEE5-71A7D09EAF9E}" name="عدد دواليب مصاحف المرفق" dataDxfId="220" dataCellStyle="Normal 2 2">
      <calculatedColumnFormula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calculatedColumnFormula>
    </tableColumn>
    <tableColumn id="40" xr3:uid="{D6303021-8E63-4AC2-941E-B250E1777BA9}" name="عدد كراسي المرفق" dataDxfId="219" dataCellStyle="Normal 2 2">
      <calculatedColumnFormula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calculatedColumnFormula>
    </tableColumn>
  </tableColumns>
  <tableStyleInfo name="Table Style 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07C608D-D217-4F67-A1BF-8F44FFE3D406}" name="Gender" displayName="Gender" ref="G8:G10" totalsRowShown="0" headerRowDxfId="218" dataDxfId="217">
  <tableColumns count="1">
    <tableColumn id="1" xr3:uid="{7025F2E4-9C29-46E8-B27F-F3DB846DFF3B}" name="جنس المستفيد" dataDxfId="216">
      <calculatedColumnFormula>ROW()-ROW(Gender[[#Headers],[جنس المستفيد]])</calculatedColumnFormula>
    </tableColumn>
  </tableColumns>
  <tableStyleInfo name="Table Style 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A83598E-2B61-41F8-9295-F2E6ABF7BDF7}" name="MasajidDB" displayName="MasajidDB" ref="A6:CG42" headerRowDxfId="215" headerRowBorderDxfId="214" tableBorderDxfId="213">
  <autoFilter ref="A6:CG42" xr:uid="{7A87BB21-D05F-4E3F-BE6D-C393BBD5DE1A}"/>
  <tableColumns count="85">
    <tableColumn id="1" xr3:uid="{6B779549-1D10-430C-9457-0E59C60F9C5A}" name="م" totalsRowLabel="Total" dataDxfId="212" totalsRowDxfId="211">
      <calculatedColumnFormula>ROW()-ROW(MasajidDB[[#Headers],[م]])</calculatedColumnFormula>
    </tableColumn>
    <tableColumn id="2" xr3:uid="{3CB7F1B0-1557-4D0B-801F-F36E65EB709F}" name="المنطقة" dataDxfId="210" totalsRowDxfId="209" dataCellStyle="Normal 3"/>
    <tableColumn id="3" xr3:uid="{EDAECE40-61B9-4E9A-9A64-6A74C2A96B4F}" name="المدينة" dataDxfId="208" totalsRowDxfId="207" dataCellStyle="Normal 3"/>
    <tableColumn id="4" xr3:uid="{17D1BE8B-19E3-4EEC-BB10-7B6211C70994}" name="الحي"/>
    <tableColumn id="5" xr3:uid="{7F61A4EF-0292-487B-8626-DAE74E54C037}" name="التصنيف" dataDxfId="206" totalsRowDxfId="205"/>
    <tableColumn id="6" xr3:uid="{F5F12C22-CE8D-414B-ACDD-415429E2EE99}" name="اسم المسجد / المدرسة / الإدارة" dataDxfId="204" totalsRowDxfId="203" dataCellStyle="Normal 3"/>
    <tableColumn id="81" xr3:uid="{952DFB61-4072-46F3-9B49-8845D5A3A628}" name="Masjid / School / Office Name" dataDxfId="202" totalsRowDxfId="201" dataCellStyle="Normal 3"/>
    <tableColumn id="7" xr3:uid="{225B5E56-5F9E-4A02-BB70-8097799EB5DD}" name="الموقع الجغرافي" dataDxfId="200" totalsRowDxfId="199" dataCellStyle="ارتباط تشعبي 2"/>
    <tableColumn id="8" xr3:uid="{DB789A48-7692-4070-A088-5D13C7220A88}" name="دائرة العرض (Latitude - N)" dataDxfId="198" totalsRowDxfId="197" dataCellStyle="ارتباط تشعبي 2"/>
    <tableColumn id="9" xr3:uid="{73EBAD24-45C3-4C34-BEDD-D5C7667136E1}" name="خط الطول (Longitude - E)" dataDxfId="196" totalsRowDxfId="195" dataCellStyle="ارتباط تشعبي 2"/>
    <tableColumn id="10" xr3:uid="{39617D35-E18B-420E-8F56-C07EAE395583}" name="الفئة (مبادرة منارة)" dataDxfId="194" totalsRowDxfId="193" dataCellStyle="ارتباط تشعبي 2"/>
    <tableColumn id="11" xr3:uid="{388B0426-BDC9-4EBA-B22F-9A9C7AD9EC4C}" name="المساحة الكلية_x000a_(م2)" totalsRowFunction="custom" dataDxfId="192" totalsRowDxfId="191" dataCellStyle="ارتباط تشعبي 2">
      <totalsRowFormula>TEXT(SUBTOTAL(109,MasajidDB[المساحة الكلية
(م2)]),"#,#")&amp;" م2"</totalsRowFormula>
    </tableColumn>
    <tableColumn id="12" xr3:uid="{68FF48C5-29F2-4272-9239-F449A6E53E8E}" name="مساحة مصلي الرجال_x000a_(م2)" totalsRowFunction="sum" dataDxfId="190" totalsRowDxfId="189" dataCellStyle="ارتباط تشعبي 2"/>
    <tableColumn id="13" xr3:uid="{BFF1C887-3ACB-42BD-9C3E-F7689220581C}" name="عدد صفوف الرجال_x000a_(صف)" totalsRowFunction="sum" dataDxfId="188" totalsRowDxfId="187" dataCellStyle="ارتباط تشعبي 2"/>
    <tableColumn id="14" xr3:uid="{5B0964D0-127B-4809-A324-490E69861160}" name="سعة المسجد من المصليين_x000a_(رجل)" totalsRowFunction="sum" dataDxfId="186" totalsRowDxfId="185" dataCellStyle="ارتباط تشعبي 2"/>
    <tableColumn id="15" xr3:uid="{97387E50-94F8-410C-89DC-94CA20C56C00}" name="مساحة مصلي النساء_x000a_(م2)" totalsRowFunction="sum" dataDxfId="184" totalsRowDxfId="183" dataCellStyle="ارتباط تشعبي 2"/>
    <tableColumn id="16" xr3:uid="{069B2348-37EE-47EE-B35A-1CC32E7E47F7}" name="عدد صفوف النساء_x000a_(صف)" totalsRowFunction="sum" dataDxfId="182" totalsRowDxfId="181" dataCellStyle="ارتباط تشعبي 2"/>
    <tableColumn id="17" xr3:uid="{0F562D2B-5EB1-4B67-AB16-46B00D1C8C5F}" name="سعة المسجد من المصليات_x000a_(امرأة)" totalsRowFunction="sum" dataDxfId="180" totalsRowDxfId="179" dataCellStyle="ارتباط تشعبي 2"/>
    <tableColumn id="51" xr3:uid="{65F322DB-1C90-4DF8-8EF5-98771AA59FD6}" name="سعة المسجد من المصلين والمصليات_x000a_(شخص)" dataDxfId="178" totalsRowDxfId="177" dataCellStyle="ارتباط تشعبي 2">
      <calculatedColumnFormula>IF(ISNUMBER(MasajidDB[[#This Row],[سعة المسجد من المصليين
(رجل)]]),MasajidDB[[#This Row],[سعة المسجد من المصليين
(رجل)]],0)
+IF(ISNUMBER(MasajidDB[[#This Row],[سعة المسجد من المصليات
(امرأة)]]),MasajidDB[[#This Row],[سعة المسجد من المصليات
(امرأة)]],0)</calculatedColumnFormula>
    </tableColumn>
    <tableColumn id="18" xr3:uid="{726472C9-CF4B-4BD3-B9AD-EBB83438ED50}" name="إجمالي عدد دورات المياه (رجال)" totalsRowFunction="sum" dataDxfId="176" totalsRowDxfId="175" dataCellStyle="ارتباط تشعبي 2"/>
    <tableColumn id="19" xr3:uid="{540771CB-35A8-460A-9283-2BDCC42E3836}" name="عدد دورات المياه المخصصة للمعاقين (رجال)" totalsRowFunction="sum" dataDxfId="174" totalsRowDxfId="173" dataCellStyle="ارتباط تشعبي 2"/>
    <tableColumn id="20" xr3:uid="{3B40FC5F-22AA-4B8F-989E-F73EF3C1B9A3}" name="عدد المواضئ (رجال)" totalsRowFunction="sum" dataDxfId="172" totalsRowDxfId="171" dataCellStyle="ارتباط تشعبي 2"/>
    <tableColumn id="21" xr3:uid="{6D961341-D2DC-4DDE-B756-A8EC2EB0C101}" name="دورات مياه النساء_x000a_(حمام)" totalsRowFunction="sum" dataDxfId="170" totalsRowDxfId="169" dataCellStyle="ارتباط تشعبي 2"/>
    <tableColumn id="22" xr3:uid="{26FD66CE-375A-4B39-BE38-4422A38DB851}" name="دورات نساء معاقين" totalsRowFunction="sum" dataDxfId="168" totalsRowDxfId="167" dataCellStyle="Normal 3"/>
    <tableColumn id="23" xr3:uid="{E2CA4C4E-7E33-4EEB-BB54-FBBD0216E8F4}" name="وضوء النساء_x000a_(منطقة)" totalsRowFunction="sum" dataDxfId="166" totalsRowDxfId="165" dataCellStyle="ارتباط تشعبي 2"/>
    <tableColumn id="26" xr3:uid="{371D8A8D-7E8D-4813-B647-0137C2101501}" name="سعة المواقف_x000a_(سيارة)" totalsRowFunction="sum" dataDxfId="164" totalsRowDxfId="163" dataCellStyle="ارتباط تشعبي 2"/>
    <tableColumn id="29" xr3:uid="{A0742D68-EAC1-4F18-9AFC-2B8060416320}" name="عدد المصاحف (مصلي الرجال)" totalsRowFunction="sum" dataDxfId="162" totalsRowDxfId="161" dataCellStyle="ارتباط تشعبي 2"/>
    <tableColumn id="30" xr3:uid="{B6F3D3E6-E072-467C-BA6C-E152413D7E94}" name="عدد حاملات المصاحف (مصلي الرجال)" totalsRowFunction="sum" dataDxfId="160" totalsRowDxfId="159" dataCellStyle="ارتباط تشعبي 2"/>
    <tableColumn id="24" xr3:uid="{24F283F3-0CBE-45C5-991C-0EF3EF333968}" name="عدد دواليب المصاحف (مصلي الرجال)" dataDxfId="158" totalsRowDxfId="157" dataCellStyle="ارتباط تشعبي 2"/>
    <tableColumn id="32" xr3:uid="{92A04FEA-F6E0-4DEF-B3FE-E31AF72E9CA1}" name="عدد الكراسي (مصلي الرجال)" totalsRowFunction="sum" dataDxfId="156" totalsRowDxfId="155" dataCellStyle="ارتباط تشعبي 2"/>
    <tableColumn id="28" xr3:uid="{03C663C0-CCBC-4CF0-9FE4-AA0102DA9EA0}" name="عدد المصاحف (مصلي النساء)" totalsRowFunction="sum" dataDxfId="154" totalsRowDxfId="153" dataCellStyle="ارتباط تشعبي 2"/>
    <tableColumn id="31" xr3:uid="{8D83CA48-E3B6-433A-8BFE-BC08FAFD6730}" name="عدد حاملات المصاحف (مصلي النساء)" dataDxfId="152" totalsRowDxfId="151" dataCellStyle="ارتباط تشعبي 2"/>
    <tableColumn id="33" xr3:uid="{7A57F7BE-158C-4C92-B29E-7B7DD35E944D}" name="عدد دواليب المصاحف (مصلي النساء)" totalsRowFunction="sum" dataDxfId="150" totalsRowDxfId="149" dataCellStyle="ارتباط تشعبي 2"/>
    <tableColumn id="27" xr3:uid="{A40CD8A3-FC4A-41DF-A160-C5679E166C9E}" name="عدد الكراسي (مصلي النساء)" totalsRowFunction="sum" dataDxfId="148" totalsRowDxfId="147" dataCellStyle="ارتباط تشعبي 2"/>
    <tableColumn id="83" xr3:uid="{197FE387-5EA6-4D3E-9DBE-DC1DC4BCFEFC}" name="عدد الأبواب" dataDxfId="146" totalsRowDxfId="145" dataCellStyle="ارتباط تشعبي 2"/>
    <tableColumn id="82" xr3:uid="{E1C80228-4909-4478-B57B-889AD341EB83}" name="عدد النوافذ" dataDxfId="144" totalsRowDxfId="143" dataCellStyle="ارتباط تشعبي 2"/>
    <tableColumn id="85" xr3:uid="{35859312-8970-48D0-8ED6-512CC4DD1C85}" name="سكن امام" dataDxfId="142" dataCellStyle="ارتباط تشعبي 2"/>
    <tableColumn id="87" xr3:uid="{2CA309BD-D6F5-4104-B974-4923C97A2EDC}" name="سكن مؤذن" dataDxfId="141" dataCellStyle="ارتباط تشعبي 2"/>
    <tableColumn id="86" xr3:uid="{D270427A-524C-41DE-9521-157AD6FC8E37}" name="سكن الخادم" dataDxfId="140" dataCellStyle="ارتباط تشعبي 2"/>
    <tableColumn id="25" xr3:uid="{24CA9F9E-E7F6-460A-AE12-274136105141}" name="فئات الصيانة" totalsRowFunction="sum" dataDxfId="139" totalsRowDxfId="138" dataCellStyle="Normal 3"/>
    <tableColumn id="34" xr3:uid="{6F195956-E4F5-4B5A-A914-A7AFC1316F2E}" name="الصيانة الوقائية" totalsRowFunction="sum" dataDxfId="137" totalsRowDxfId="136" dataCellStyle="ارتباط تشعبي 2"/>
    <tableColumn id="35" xr3:uid="{E320C879-D901-44C5-9A45-BBAB9B77FB7E}" name="Column27" totalsRowFunction="sum" dataDxfId="135" totalsRowDxfId="134" dataCellStyle="ارتباط تشعبي 2"/>
    <tableColumn id="36" xr3:uid="{F945A840-B9FA-489C-AA13-43C10C5E59B4}" name="Column28" totalsRowFunction="sum" dataDxfId="133" totalsRowDxfId="132" dataCellStyle="ارتباط تشعبي 2"/>
    <tableColumn id="37" xr3:uid="{039F15B2-BB8B-4143-A24F-CB0A7E12D856}" name="Column29" totalsRowFunction="sum" dataDxfId="131" totalsRowDxfId="130" dataCellStyle="ارتباط تشعبي 2"/>
    <tableColumn id="38" xr3:uid="{7DD1AAC4-D063-4B11-B1F0-765DE5D51157}" name="Column30" totalsRowFunction="sum" dataDxfId="129" totalsRowDxfId="128" dataCellStyle="ارتباط تشعبي 2"/>
    <tableColumn id="68" xr3:uid="{637EAD38-7D2D-4F92-AC4C-89AFE407F3CB}" name="خطيب مسجد؟" dataDxfId="127" totalsRowDxfId="126" dataCellStyle="ارتباط تشعبي 2"/>
    <tableColumn id="72" xr3:uid="{F5B57F2C-7F4D-4DBC-9E85-98A2E41638B7}" name="خطيب مسجد؟_" dataDxfId="125" totalsRowDxfId="124" dataCellStyle="ارتباط تشعبي 2">
      <calculatedColumnFormula>IF(MasajidDB[[#This Row],[خطيب مسجد؟]],1,0)</calculatedColumnFormula>
    </tableColumn>
    <tableColumn id="39" xr3:uid="{7BD95C8F-5F91-4004-9FE4-9A0C2AECB654}" name="Column31" totalsRowFunction="sum" dataDxfId="123" totalsRowDxfId="122" dataCellStyle="ارتباط تشعبي 2"/>
    <tableColumn id="40" xr3:uid="{8FB04109-66CA-4FA6-8357-94494CAE9559}" name="Column312" totalsRowFunction="sum" dataDxfId="121" totalsRowDxfId="120" dataCellStyle="ارتباط تشعبي 2"/>
    <tableColumn id="41" xr3:uid="{DFE91682-F716-47C8-AC39-31D779879625}" name="Column313" totalsRowFunction="sum" dataDxfId="119" totalsRowDxfId="118" dataCellStyle="ارتباط تشعبي 2"/>
    <tableColumn id="76" xr3:uid="{72C03FBB-45B4-48E2-A474-D2D34C9C8A47}" name="جنسية الخطيب" dataDxfId="117" totalsRowDxfId="116" dataCellStyle="ارتباط تشعبي 2">
      <calculatedColumnFormula>IFERROR(IF(VALUE(LEFT(MasajidDB[[#This Row],[Column313]],1))=1,1,0),0)</calculatedColumnFormula>
    </tableColumn>
    <tableColumn id="62" xr3:uid="{E3BF187A-FC11-44EF-976A-B093A7C7A0DB}" name="مصدر مكافأة الخطيب" dataDxfId="115" totalsRowDxfId="114" dataCellStyle="ارتباط تشعبي 2"/>
    <tableColumn id="67" xr3:uid="{2422133C-CFA7-41CD-95DF-0D66C8614B5A}" name="إمام مسجد؟" dataDxfId="113" totalsRowDxfId="112" dataCellStyle="ارتباط تشعبي 2"/>
    <tableColumn id="73" xr3:uid="{744629B5-7D16-463E-8084-7CA84B5B3D4F}" name="إمام مسجد؟_" dataDxfId="111" totalsRowDxfId="110" dataCellStyle="ارتباط تشعبي 2">
      <calculatedColumnFormula>IF(MasajidDB[[#This Row],[إمام مسجد؟]],1,0)</calculatedColumnFormula>
    </tableColumn>
    <tableColumn id="42" xr3:uid="{B1652A57-0738-44A5-A7DC-8672E8B954A4}" name="Column314" totalsRowFunction="sum" dataDxfId="109" totalsRowDxfId="108" dataCellStyle="ارتباط تشعبي 2"/>
    <tableColumn id="43" xr3:uid="{2638F0AB-6852-4249-90F3-4FAE3D95623B}" name="Column315" totalsRowFunction="sum" dataDxfId="107" totalsRowDxfId="106" dataCellStyle="ارتباط تشعبي 2"/>
    <tableColumn id="44" xr3:uid="{4BC39BBC-E5CA-482C-BAB1-1427E9E5E346}" name="Column316" totalsRowFunction="sum" dataDxfId="105" totalsRowDxfId="104" dataCellStyle="ارتباط تشعبي 2"/>
    <tableColumn id="77" xr3:uid="{852B725A-D33B-420A-A493-B1C7D62423E5}" name="جنسية الإمام" dataDxfId="103" totalsRowDxfId="102" dataCellStyle="ارتباط تشعبي 2">
      <calculatedColumnFormula>IFERROR(IF(VALUE(LEFT(MasajidDB[[#This Row],[Column316]],1))=1,1,0),0)</calculatedColumnFormula>
    </tableColumn>
    <tableColumn id="64" xr3:uid="{02A74970-DAA3-4C74-B57B-4F089D7DC9C0}" name="Column3162" dataDxfId="101" totalsRowDxfId="100" dataCellStyle="ارتباط تشعبي 2"/>
    <tableColumn id="69" xr3:uid="{449EE83B-55A3-475F-98E7-1C333AA997B8}" name="مصدر مكافأة الإمام" dataDxfId="99" totalsRowDxfId="98" dataCellStyle="ارتباط تشعبي 2"/>
    <tableColumn id="66" xr3:uid="{611E0B8B-8D13-401C-8ABB-84DF6219D2BC}" name="مؤذن مسجد؟" dataDxfId="97" totalsRowDxfId="96" dataCellStyle="ارتباط تشعبي 2"/>
    <tableColumn id="71" xr3:uid="{D803F2A7-13D1-4CD6-9D84-4FAB47692CB0}" name="مؤذن مسجد؟_" dataDxfId="95" totalsRowDxfId="94" dataCellStyle="ارتباط تشعبي 2">
      <calculatedColumnFormula>IF(MasajidDB[[#This Row],[مؤذن مسجد؟]],1,0)</calculatedColumnFormula>
    </tableColumn>
    <tableColumn id="45" xr3:uid="{7C56FAFB-2E2C-41D0-9965-65FBB0B97BB6}" name="Column317" totalsRowFunction="sum" dataDxfId="93" totalsRowDxfId="92" dataCellStyle="ارتباط تشعبي 2"/>
    <tableColumn id="46" xr3:uid="{66007C13-883A-4752-9F77-8B3AFCF08827}" name="Column318" totalsRowFunction="sum" dataDxfId="91" totalsRowDxfId="90" dataCellStyle="ارتباط تشعبي 2"/>
    <tableColumn id="47" xr3:uid="{B9129313-0934-4606-B785-D453DD1874B3}" name="Column319" totalsRowFunction="sum" dataDxfId="89" totalsRowDxfId="88" dataCellStyle="ارتباط تشعبي 2"/>
    <tableColumn id="78" xr3:uid="{6E22656F-2040-4872-A346-9ABEAE4D46A2}" name="جنسية المؤذن" dataDxfId="87" totalsRowDxfId="86" dataCellStyle="ارتباط تشعبي 2">
      <calculatedColumnFormula>IFERROR(IF(VALUE(LEFT(MasajidDB[[#This Row],[Column319]],1))=1,1,0),0)</calculatedColumnFormula>
    </tableColumn>
    <tableColumn id="63" xr3:uid="{C2B84A85-AE79-4F49-A5F2-3FE3A91340FF}" name="Column3192" dataDxfId="85" totalsRowDxfId="84" dataCellStyle="ارتباط تشعبي 2"/>
    <tableColumn id="70" xr3:uid="{FB2B8C91-3E68-4430-8279-16FD64D118C7}" name="مصدر مكافأة المؤذن" dataDxfId="83" totalsRowDxfId="82" dataCellStyle="ارتباط تشعبي 2"/>
    <tableColumn id="65" xr3:uid="{80377C7C-57AC-47AC-8D1A-AA8D8EEB717E}" name="مشرف على منشأة تعليمية؟" dataDxfId="81" totalsRowDxfId="80" dataCellStyle="ارتباط تشعبي 2"/>
    <tableColumn id="74" xr3:uid="{764306DD-9F00-4E93-8A6E-AABFAC8F67FA}" name="مشرف على منشأة تعليمية؟_" dataDxfId="79" totalsRowDxfId="78" dataCellStyle="ارتباط تشعبي 2">
      <calculatedColumnFormula>IF(MasajidDB[[#This Row],[مشرف على منشأة تعليمية؟]],1,0)</calculatedColumnFormula>
    </tableColumn>
    <tableColumn id="48" xr3:uid="{DC80C939-6361-4725-8F22-AD226ACA4AEF}" name="Column320" dataDxfId="77" totalsRowDxfId="76" dataCellStyle="ارتباط تشعبي 2"/>
    <tableColumn id="49" xr3:uid="{DFF73081-CA05-4F44-9C50-4DCE4FABA98A}" name="Column321" dataDxfId="75" totalsRowDxfId="74" dataCellStyle="ارتباط تشعبي 2"/>
    <tableColumn id="50" xr3:uid="{4DD2B27F-4858-4228-8537-29E6D1ADA0ED}" name="Column322" dataDxfId="73" totalsRowDxfId="72" dataCellStyle="ارتباط تشعبي 2"/>
    <tableColumn id="75" xr3:uid="{FE50379B-B9E3-4DD2-B251-F3BA408C14A5}" name="جنسية مشرف المنشأة التعليمية" dataDxfId="71" totalsRowDxfId="70" dataCellStyle="ارتباط تشعبي 2">
      <calculatedColumnFormula>IFERROR(IF(VALUE(LEFT(MasajidDB[[#This Row],[Column322]],1))=1,1,0),0)</calculatedColumnFormula>
    </tableColumn>
    <tableColumn id="79" xr3:uid="{8139E340-78BF-401B-B5F8-BC5B5112801C}" name="مصدر مكافأة مشرف المنشأة التعليمية" dataDxfId="69" totalsRowDxfId="68" dataCellStyle="ارتباط تشعبي 2"/>
    <tableColumn id="52" xr3:uid="{90B3D74E-D74F-4EE0-92FC-0084C79887D1}" name="الصلوات الجهرية" dataDxfId="67" totalsRowDxfId="66" dataCellStyle="ارتباط تشعبي 2"/>
    <tableColumn id="53" xr3:uid="{7244791E-C41A-4B1F-8F87-8658BBDAFEAD}" name="الصلوات السرية" dataDxfId="65" totalsRowDxfId="64" dataCellStyle="ارتباط تشعبي 2"/>
    <tableColumn id="54" xr3:uid="{4B9541C5-443E-4DE6-B08A-91DD9378F5B5}" name="صلاة التراويح" dataDxfId="63" totalsRowDxfId="62" dataCellStyle="ارتباط تشعبي 2"/>
    <tableColumn id="55" xr3:uid="{40211127-7061-4C06-A3BF-21A7C8F19CE8}" name="صلاة القيام" dataDxfId="61" totalsRowDxfId="60" dataCellStyle="ارتباط تشعبي 2"/>
    <tableColumn id="56" xr3:uid="{8803327F-2960-400A-A153-5C50E45A980A}" name="صلاة الجمعة" dataDxfId="59" totalsRowDxfId="58" dataCellStyle="ارتباط تشعبي 2"/>
    <tableColumn id="57" xr3:uid="{C267DBE7-989D-44EF-8BF8-AE9CB6B4A978}" name="صلاة العيدين " dataDxfId="57" totalsRowDxfId="56" dataCellStyle="ارتباط تشعبي 2"/>
    <tableColumn id="58" xr3:uid="{C5E40AEF-B2B4-4552-8191-7A25A5D68EF4}" name="صلاة الاستسقاء " dataDxfId="55" totalsRowDxfId="54" dataCellStyle="ارتباط تشعبي 2"/>
    <tableColumn id="59" xr3:uid="{9A41C027-FD60-4AD1-B266-5E0D83401D17}" name="صلاة الكسوف" dataDxfId="53" totalsRowDxfId="52" dataCellStyle="ارتباط تشعبي 2"/>
    <tableColumn id="60" xr3:uid="{A44F0B94-B71B-4C9E-B79C-847A5E1E666B}" name="صلاة الخسوف" dataDxfId="51" totalsRowDxfId="50" dataCellStyle="ارتباط تشعبي 2"/>
    <tableColumn id="61" xr3:uid="{F7A2B77F-7B2E-4E9C-8B18-D631096021B1}" name="صلاة الجنائز" dataDxfId="49" totalsRowDxfId="48" dataCellStyle="ارتباط تشعبي 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4569BD9-3AE4-41AB-A4AB-9CAF7FA4CA3A}" name="ManarahStaffNationalities" displayName="ManarahStaffNationalities" ref="CR5:CR7" totalsRowShown="0" headerRowDxfId="47" dataDxfId="46">
  <autoFilter ref="CR5:CR7" xr:uid="{23AC5E68-DD86-45A0-B3C8-78459C75AB41}"/>
  <tableColumns count="1">
    <tableColumn id="1" xr3:uid="{859C3A7E-B536-4B65-BEE6-22D4F32D5F0B}" name="الجنسية" dataDxfId="45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B91D9C1-250E-4813-B41F-C418A994C13C}" name="ManarahStaffCategories" displayName="ManarahStaffCategories" ref="CI5:CP17" totalsRowShown="0" headerRowDxfId="44" dataDxfId="43">
  <autoFilter ref="CI5:CP17" xr:uid="{56AB5C1F-0E58-4ED6-B15A-57D6F5D455D8}"/>
  <tableColumns count="8">
    <tableColumn id="3" xr3:uid="{ECB2B4E1-17B3-4D1C-9751-7262382D6117}" name="اسم البرنامج" dataDxfId="42"/>
    <tableColumn id="1" xr3:uid="{4343855D-B7E8-494B-82FB-39622C52D3E2}" name="مصدر المكافأة" dataDxfId="41"/>
    <tableColumn id="6" xr3:uid="{2159395A-F0D0-40ED-87DC-9AF383E39F84}" name="الجنسية" dataDxfId="40"/>
    <tableColumn id="17" xr3:uid="{E3E1E265-60B5-4AB5-9C0F-921652914D13}" name="عدد الخطباء" dataDxfId="39">
      <calculatedColumnFormula>IF(ManarahStaffCategories[[#This Row],[الجنسية]]=INDEX(ManarahStaffNationalities[الجنسية],1),
SUMIF(MasajidDB[مصدر مكافأة الخطيب],ManarahStaffCategories[[#This Row],[مصدر المكافأة]],MasajidDB[جنسية الخطيب]),
COUNTIF(MasajidDB[مصدر مكافأة الخطيب],ManarahStaffCategories[[#This Row],[مصدر المكافأة]])-SUMIF(MasajidDB[مصدر مكافأة الخطيب],ManarahStaffCategories[[#This Row],[مصدر المكافأة]],MasajidDB[جنسية الخطيب]))</calculatedColumnFormula>
    </tableColumn>
    <tableColumn id="7" xr3:uid="{5234D946-E312-443F-9815-EA69CCA1CAF1}" name="عدد الأئمة" dataDxfId="38">
      <calculatedColumnFormula>IF(ManarahStaffCategories[[#This Row],[الجنسية]]=INDEX(ManarahStaffNationalities[الجنسية],1),
SUMIF(MasajidDB[مصدر مكافأة الإمام],ManarahStaffCategories[[#This Row],[مصدر المكافأة]],MasajidDB[جنسية الإمام]),
COUNTIF(MasajidDB[مصدر مكافأة الإمام],ManarahStaffCategories[[#This Row],[مصدر المكافأة]])-SUMIF(MasajidDB[مصدر مكافأة الإمام],ManarahStaffCategories[[#This Row],[مصدر المكافأة]],MasajidDB[جنسية الإمام]))</calculatedColumnFormula>
    </tableColumn>
    <tableColumn id="19" xr3:uid="{BD3948E9-255D-4105-8E33-DB032ECBD494}" name="عدد المؤذنين" dataDxfId="37">
      <calculatedColumnFormula>IF(ManarahStaffCategories[[#This Row],[الجنسية]]=INDEX(ManarahStaffNationalities[الجنسية],1),
SUMIF(MasajidDB[مصدر مكافأة المؤذن],ManarahStaffCategories[[#This Row],[مصدر المكافأة]],MasajidDB[جنسية المؤذن]),
COUNTIF(MasajidDB[مصدر مكافأة المؤذن],ManarahStaffCategories[[#This Row],[مصدر المكافأة]])-SUMIF(MasajidDB[مصدر مكافأة المؤذن],ManarahStaffCategories[[#This Row],[مصدر المكافأة]],MasajidDB[جنسية المؤذن]))</calculatedColumnFormula>
    </tableColumn>
    <tableColumn id="8" xr3:uid="{5B7378A4-5D16-4605-8268-413559B79B7C}" name="عدد مشرفي المنشآت التعليمية" dataDxfId="36">
      <calculatedColumnFormula>IF(ManarahStaffCategories[[#This Row],[الجنسية]]=INDEX(ManarahStaffNationalities[الجنسية],1),
SUMIF(MasajidDB[مصدر مكافأة مشرف المنشأة التعليمية],ManarahStaffCategories[[#This Row],[مصدر المكافأة]],MasajidDB[جنسية مشرف المنشأة التعليمية]),
COUNTIF(MasajidDB[مصدر مكافأة مشرف المنشأة التعليمية],ManarahStaffCategories[[#This Row],[مصدر المكافأة]])-SUMIF(MasajidDB[مصدر مكافأة مشرف المنشأة التعليمية],ManarahStaffCategories[[#This Row],[مصدر المكافأة]],MasajidDB[جنسية مشرف المنشأة التعليمية]))</calculatedColumnFormula>
    </tableColumn>
    <tableColumn id="9" xr3:uid="{E7B99DB5-ADEC-4337-9B7B-8BDA5A03DE34}" name="إجمالي عدد المنسوبين" dataDxfId="35">
      <calculatedColumnFormula>SUM(ManarahStaffCategories[[#This Row],[عدد الخطباء]],ManarahStaffCategories[[#This Row],[عدد الأئمة]],ManarahStaffCategories[[#This Row],[عدد المؤذنين]],ManarahStaffCategories[[#This Row],[عدد مشرفي المنشآت التعليمية]])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7D46199-CC0E-45BA-AA16-47ADA370FA5E}" name="ManarahStaffSalariesSources" displayName="ManarahStaffSalariesSources" ref="CT5:CT11" totalsRowShown="0" headerRowDxfId="34" dataDxfId="33">
  <autoFilter ref="CT5:CT11" xr:uid="{2E2C9A9E-7F8E-4E47-A837-2FD3D60D3B73}"/>
  <tableColumns count="1">
    <tableColumn id="1" xr3:uid="{F0AF5211-C545-4241-B863-4FFC5B55998E}" name="مصدر المكافأة" dataDxfId="3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Almajdouie">
  <a:themeElements>
    <a:clrScheme name="مساجد المجدوعي">
      <a:dk1>
        <a:srgbClr val="883C4E"/>
      </a:dk1>
      <a:lt1>
        <a:srgbClr val="FFFFFF"/>
      </a:lt1>
      <a:dk2>
        <a:srgbClr val="000000"/>
      </a:dk2>
      <a:lt2>
        <a:srgbClr val="AA946F"/>
      </a:lt2>
      <a:accent1>
        <a:srgbClr val="6594C4"/>
      </a:accent1>
      <a:accent2>
        <a:srgbClr val="E5AF64"/>
      </a:accent2>
      <a:accent3>
        <a:srgbClr val="8BADE5"/>
      </a:accent3>
      <a:accent4>
        <a:srgbClr val="000000"/>
      </a:accent4>
      <a:accent5>
        <a:srgbClr val="049CA3"/>
      </a:accent5>
      <a:accent6>
        <a:srgbClr val="BC6851"/>
      </a:accent6>
      <a:hlink>
        <a:srgbClr val="0000FF"/>
      </a:hlink>
      <a:folHlink>
        <a:srgbClr val="800080"/>
      </a:folHlink>
    </a:clrScheme>
    <a:fontScheme name="المجدوعي الخيرية">
      <a:majorFont>
        <a:latin typeface="itf rayat Black"/>
        <a:ea typeface=""/>
        <a:cs typeface="itf rayat Black"/>
      </a:majorFont>
      <a:minorFont>
        <a:latin typeface="itf rayat"/>
        <a:ea typeface=""/>
        <a:cs typeface="itf rayat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Almajdouie" id="{665A6ED6-9495-0241-BD1C-F133AE8C62FB}" vid="{72B265B6-D4DF-104F-9D98-548B7CBF6396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7RLcoxhSM6agvAyn9" TargetMode="External"/><Relationship Id="rId13" Type="http://schemas.openxmlformats.org/officeDocument/2006/relationships/hyperlink" Target="https://goo.gl/maps/dJrxskXYSPmfEFmb9" TargetMode="External"/><Relationship Id="rId18" Type="http://schemas.openxmlformats.org/officeDocument/2006/relationships/table" Target="../tables/table2.xml"/><Relationship Id="rId3" Type="http://schemas.openxmlformats.org/officeDocument/2006/relationships/hyperlink" Target="https://maps.app.goo.gl/nzdcukt2gqxozZMb8" TargetMode="External"/><Relationship Id="rId7" Type="http://schemas.openxmlformats.org/officeDocument/2006/relationships/hyperlink" Target="https://maps.app.goo.gl/GQbKT1esvV3KuqDP7" TargetMode="External"/><Relationship Id="rId12" Type="http://schemas.openxmlformats.org/officeDocument/2006/relationships/hyperlink" Target="https://goo.gl/maps/WkEXQXXNq3jcVFAP6" TargetMode="External"/><Relationship Id="rId17" Type="http://schemas.openxmlformats.org/officeDocument/2006/relationships/table" Target="../tables/table1.xml"/><Relationship Id="rId2" Type="http://schemas.openxmlformats.org/officeDocument/2006/relationships/hyperlink" Target="https://maps.app.goo.gl/FJS3Envzf2MpbXbx6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maps.app.goo.gl/w3H1Y6Gj3zSb7cid7" TargetMode="External"/><Relationship Id="rId6" Type="http://schemas.openxmlformats.org/officeDocument/2006/relationships/hyperlink" Target="https://maps.app.goo.gl/BZqNeRqtzghnY4CE6" TargetMode="External"/><Relationship Id="rId11" Type="http://schemas.openxmlformats.org/officeDocument/2006/relationships/hyperlink" Target="https://goo.gl/maps/d2Twiv3MwhJgcLou7" TargetMode="External"/><Relationship Id="rId5" Type="http://schemas.openxmlformats.org/officeDocument/2006/relationships/hyperlink" Target="https://maps.app.goo.gl/eHzCHL5YDiAHdHVw8" TargetMode="External"/><Relationship Id="rId15" Type="http://schemas.openxmlformats.org/officeDocument/2006/relationships/hyperlink" Target="https://maps.app.goo.gl/i2yc4iw3LnPiv5dj8?g_st=aw" TargetMode="External"/><Relationship Id="rId10" Type="http://schemas.openxmlformats.org/officeDocument/2006/relationships/hyperlink" Target="https://maps.app.goo.gl/q4y63STQigjb5nSYA" TargetMode="External"/><Relationship Id="rId19" Type="http://schemas.openxmlformats.org/officeDocument/2006/relationships/table" Target="../tables/table3.xml"/><Relationship Id="rId4" Type="http://schemas.openxmlformats.org/officeDocument/2006/relationships/hyperlink" Target="https://maps.app.goo.gl/XdS5PwrkE88fGkMF7" TargetMode="External"/><Relationship Id="rId9" Type="http://schemas.openxmlformats.org/officeDocument/2006/relationships/hyperlink" Target="https://maps.app.goo.gl/pB2Aoe8bonsowb4u6" TargetMode="External"/><Relationship Id="rId14" Type="http://schemas.openxmlformats.org/officeDocument/2006/relationships/hyperlink" Target="https://maps.app.goo.gl/952e1mGrhATxbs1d8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goo.gl/maps/CNmMgj3ZUkxdSHD1A" TargetMode="External"/><Relationship Id="rId18" Type="http://schemas.openxmlformats.org/officeDocument/2006/relationships/hyperlink" Target="https://goo.gl/maps/sTumewzEs6nS5YGx7" TargetMode="External"/><Relationship Id="rId26" Type="http://schemas.openxmlformats.org/officeDocument/2006/relationships/hyperlink" Target="https://goo.gl/maps/mANgNZbHG6nNrH7c8" TargetMode="External"/><Relationship Id="rId3" Type="http://schemas.openxmlformats.org/officeDocument/2006/relationships/hyperlink" Target="https://maps.app.goo.gl/bW3bGn721dbPQis2A" TargetMode="External"/><Relationship Id="rId21" Type="http://schemas.openxmlformats.org/officeDocument/2006/relationships/hyperlink" Target="https://goo.gl/maps/MsBCfdQBEf4msFs29" TargetMode="External"/><Relationship Id="rId34" Type="http://schemas.openxmlformats.org/officeDocument/2006/relationships/table" Target="../tables/table11.xml"/><Relationship Id="rId7" Type="http://schemas.openxmlformats.org/officeDocument/2006/relationships/hyperlink" Target="https://goo.gl/maps/dJrxskXYSPmfEFmb9" TargetMode="External"/><Relationship Id="rId12" Type="http://schemas.openxmlformats.org/officeDocument/2006/relationships/hyperlink" Target="https://maps.app.goo.gl/4CXAHH8L5Ts3fyMa7" TargetMode="External"/><Relationship Id="rId17" Type="http://schemas.openxmlformats.org/officeDocument/2006/relationships/hyperlink" Target="https://goo.gl/maps/euMxm5NdcUob8ERr8" TargetMode="External"/><Relationship Id="rId25" Type="http://schemas.openxmlformats.org/officeDocument/2006/relationships/hyperlink" Target="https://goo.gl/maps/fyJAk1Ku9CudZ4jy9" TargetMode="External"/><Relationship Id="rId33" Type="http://schemas.openxmlformats.org/officeDocument/2006/relationships/table" Target="../tables/table10.xml"/><Relationship Id="rId2" Type="http://schemas.openxmlformats.org/officeDocument/2006/relationships/hyperlink" Target="https://goo.gl/maps/SyMJaxcQcDGTh4gy5" TargetMode="External"/><Relationship Id="rId16" Type="http://schemas.openxmlformats.org/officeDocument/2006/relationships/hyperlink" Target="https://goo.gl/maps/U62hy95ihTSQSCRY6" TargetMode="External"/><Relationship Id="rId20" Type="http://schemas.openxmlformats.org/officeDocument/2006/relationships/hyperlink" Target="https://goo.gl/maps/hSCKSjG38hEdnQT86" TargetMode="External"/><Relationship Id="rId29" Type="http://schemas.openxmlformats.org/officeDocument/2006/relationships/hyperlink" Target="https://goo.gl/maps/V38CAcTwZQZumWUw7" TargetMode="External"/><Relationship Id="rId1" Type="http://schemas.openxmlformats.org/officeDocument/2006/relationships/hyperlink" Target="https://goo.gl/maps/TwtRyF99AQ5CC49J6" TargetMode="External"/><Relationship Id="rId6" Type="http://schemas.openxmlformats.org/officeDocument/2006/relationships/hyperlink" Target="https://goo.gl/maps/7V6ooRjRNyHYsYj88" TargetMode="External"/><Relationship Id="rId11" Type="http://schemas.openxmlformats.org/officeDocument/2006/relationships/hyperlink" Target="https://maps.app.goo.gl/4CXAHH8L5Ts3fyMa7" TargetMode="External"/><Relationship Id="rId24" Type="http://schemas.openxmlformats.org/officeDocument/2006/relationships/hyperlink" Target="https://goo.gl/maps/d2Twiv3MwhJgcLou7" TargetMode="External"/><Relationship Id="rId32" Type="http://schemas.openxmlformats.org/officeDocument/2006/relationships/drawing" Target="../drawings/drawing1.xml"/><Relationship Id="rId5" Type="http://schemas.openxmlformats.org/officeDocument/2006/relationships/hyperlink" Target="https://maps.app.goo.gl/MD5hxMwNmMjTWA1R7" TargetMode="External"/><Relationship Id="rId15" Type="http://schemas.openxmlformats.org/officeDocument/2006/relationships/hyperlink" Target="https://goo.gl/maps/QfvQtsnkq8e5Bf3t8" TargetMode="External"/><Relationship Id="rId23" Type="http://schemas.openxmlformats.org/officeDocument/2006/relationships/hyperlink" Target="https://goo.gl/maps/WkEXQXXNq3jcVFAP6" TargetMode="External"/><Relationship Id="rId28" Type="http://schemas.openxmlformats.org/officeDocument/2006/relationships/hyperlink" Target="https://maps.app.goo.gl/TfbkLgftd5qz2hoK6" TargetMode="External"/><Relationship Id="rId36" Type="http://schemas.openxmlformats.org/officeDocument/2006/relationships/table" Target="../tables/table13.xml"/><Relationship Id="rId10" Type="http://schemas.openxmlformats.org/officeDocument/2006/relationships/hyperlink" Target="https://goo.gl/maps/Awn8DGjFsMfpGtQE7" TargetMode="External"/><Relationship Id="rId19" Type="http://schemas.openxmlformats.org/officeDocument/2006/relationships/hyperlink" Target="https://maps.app.goo.gl/JudoaxkYJdvaVbNC7" TargetMode="External"/><Relationship Id="rId31" Type="http://schemas.openxmlformats.org/officeDocument/2006/relationships/printerSettings" Target="../printerSettings/printerSettings4.bin"/><Relationship Id="rId4" Type="http://schemas.openxmlformats.org/officeDocument/2006/relationships/hyperlink" Target="https://maps.app.goo.gl/d8Evn8xeJAJNLVeX8" TargetMode="External"/><Relationship Id="rId9" Type="http://schemas.openxmlformats.org/officeDocument/2006/relationships/hyperlink" Target="https://maps.app.goo.gl/xG4HdA14uDbKUvgH7" TargetMode="External"/><Relationship Id="rId14" Type="http://schemas.openxmlformats.org/officeDocument/2006/relationships/hyperlink" Target="https://goo.gl/maps/7EmcwvX3cZKNVuE87" TargetMode="External"/><Relationship Id="rId22" Type="http://schemas.openxmlformats.org/officeDocument/2006/relationships/hyperlink" Target="https://goo.gl/maps/7xpu6L1NSiFUnvcX9" TargetMode="External"/><Relationship Id="rId27" Type="http://schemas.openxmlformats.org/officeDocument/2006/relationships/hyperlink" Target="https://goo.gl/maps/Awn8DGjFsMfpGtQE7" TargetMode="External"/><Relationship Id="rId30" Type="http://schemas.openxmlformats.org/officeDocument/2006/relationships/hyperlink" Target="https://goo.gl/maps/dJrxskXYSPmfEFmb9" TargetMode="External"/><Relationship Id="rId35" Type="http://schemas.openxmlformats.org/officeDocument/2006/relationships/table" Target="../tables/table12.xml"/><Relationship Id="rId8" Type="http://schemas.openxmlformats.org/officeDocument/2006/relationships/hyperlink" Target="https://maps.app.goo.gl/trfN7yjrTvZUeu6m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71F9D-1196-489B-973F-0F8E36524B68}">
  <sheetPr codeName="Sheet5">
    <tabColor theme="1"/>
    <pageSetUpPr fitToPage="1"/>
  </sheetPr>
  <dimension ref="B2:BE46"/>
  <sheetViews>
    <sheetView showGridLines="0" rightToLeft="1" tabSelected="1" topLeftCell="E10" zoomScale="80" zoomScaleNormal="80" zoomScaleSheetLayoutView="30" workbookViewId="0">
      <selection activeCell="E19" sqref="E19"/>
    </sheetView>
  </sheetViews>
  <sheetFormatPr defaultColWidth="2.44140625" defaultRowHeight="32.25" x14ac:dyDescent="0.45"/>
  <cols>
    <col min="1" max="1" width="2.44140625" style="28"/>
    <col min="2" max="2" width="2.21875" style="28" customWidth="1"/>
    <col min="3" max="3" width="14" style="29" bestFit="1" customWidth="1"/>
    <col min="4" max="4" width="26.33203125" style="29" bestFit="1" customWidth="1"/>
    <col min="5" max="5" width="14" style="29" bestFit="1" customWidth="1"/>
    <col min="6" max="6" width="15.109375" style="29" bestFit="1" customWidth="1"/>
    <col min="7" max="7" width="41.88671875" style="29" bestFit="1" customWidth="1"/>
    <col min="8" max="8" width="22.109375" style="29" bestFit="1" customWidth="1"/>
    <col min="9" max="9" width="18" style="29" bestFit="1" customWidth="1"/>
    <col min="10" max="10" width="13" style="29" bestFit="1" customWidth="1"/>
    <col min="11" max="11" width="72.6640625" style="29" bestFit="1" customWidth="1"/>
    <col min="12" max="13" width="27.109375" style="29" customWidth="1"/>
    <col min="14" max="14" width="18.77734375" style="29" customWidth="1"/>
    <col min="15" max="16" width="25.88671875" style="29" bestFit="1" customWidth="1"/>
    <col min="17" max="17" width="18.44140625" style="29" bestFit="1" customWidth="1"/>
    <col min="18" max="19" width="17.44140625" style="29" bestFit="1" customWidth="1"/>
    <col min="20" max="20" width="20.109375" style="29" bestFit="1" customWidth="1"/>
    <col min="21" max="21" width="9.109375" style="29" bestFit="1" customWidth="1"/>
    <col min="22" max="22" width="8.77734375" style="29" bestFit="1" customWidth="1"/>
    <col min="23" max="23" width="11" style="29" bestFit="1" customWidth="1"/>
    <col min="24" max="25" width="10.109375" style="29" bestFit="1" customWidth="1"/>
    <col min="26" max="26" width="15.44140625" style="29" bestFit="1" customWidth="1"/>
    <col min="27" max="27" width="14" style="29" bestFit="1" customWidth="1"/>
    <col min="28" max="28" width="13.6640625" style="29" bestFit="1" customWidth="1"/>
    <col min="29" max="29" width="13.44140625" style="29" bestFit="1" customWidth="1"/>
    <col min="30" max="30" width="13.6640625" style="29" bestFit="1" customWidth="1"/>
    <col min="31" max="31" width="14.21875" style="29" bestFit="1" customWidth="1"/>
    <col min="32" max="32" width="16.21875" style="29" customWidth="1"/>
    <col min="33" max="33" width="13.44140625" style="29" bestFit="1" customWidth="1"/>
    <col min="34" max="34" width="16.33203125" style="29" bestFit="1" customWidth="1"/>
    <col min="35" max="35" width="10.77734375" style="29" bestFit="1" customWidth="1"/>
    <col min="36" max="37" width="9.77734375" style="29" bestFit="1" customWidth="1"/>
    <col min="38" max="38" width="14" style="29" bestFit="1" customWidth="1"/>
    <col min="39" max="40" width="11.44140625" style="29" bestFit="1" customWidth="1"/>
    <col min="41" max="41" width="14" style="29" bestFit="1" customWidth="1"/>
    <col min="42" max="43" width="13.109375" style="29" bestFit="1" customWidth="1"/>
    <col min="44" max="44" width="14" style="29" bestFit="1" customWidth="1"/>
    <col min="45" max="46" width="13.109375" style="29" bestFit="1" customWidth="1"/>
    <col min="47" max="47" width="9.44140625" style="29" bestFit="1" customWidth="1"/>
    <col min="48" max="49" width="10.109375" style="29" bestFit="1" customWidth="1"/>
    <col min="50" max="51" width="13.6640625" style="29" bestFit="1" customWidth="1"/>
    <col min="52" max="52" width="32.44140625" style="29" bestFit="1" customWidth="1"/>
    <col min="53" max="55" width="2.44140625" style="28"/>
    <col min="56" max="56" width="23.88671875" style="28" bestFit="1" customWidth="1"/>
    <col min="57" max="16384" width="2.44140625" style="28"/>
  </cols>
  <sheetData>
    <row r="2" spans="2:57" s="31" customFormat="1" x14ac:dyDescent="0.45"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</row>
    <row r="3" spans="2:57" s="31" customFormat="1" ht="75.75" x14ac:dyDescent="0.45">
      <c r="B3" s="30"/>
      <c r="C3" s="191" t="e" vm="1">
        <v>#VALUE!</v>
      </c>
      <c r="D3" s="191"/>
      <c r="E3" s="184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192" t="e" vm="2">
        <v>#VALUE!</v>
      </c>
      <c r="AZ3" s="192"/>
      <c r="BA3" s="30"/>
    </row>
    <row r="4" spans="2:57" s="31" customFormat="1" ht="75.75" x14ac:dyDescent="0.45">
      <c r="B4" s="30"/>
      <c r="C4" s="193" t="s">
        <v>0</v>
      </c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3"/>
      <c r="Y4" s="193"/>
      <c r="Z4" s="193"/>
      <c r="AA4" s="193"/>
      <c r="AB4" s="193"/>
      <c r="AC4" s="193"/>
      <c r="AD4" s="193"/>
      <c r="AE4" s="193"/>
      <c r="AF4" s="193"/>
      <c r="AG4" s="193"/>
      <c r="AH4" s="193"/>
      <c r="AI4" s="193"/>
      <c r="AJ4" s="193"/>
      <c r="AK4" s="193"/>
      <c r="AL4" s="193"/>
      <c r="AM4" s="193"/>
      <c r="AN4" s="193"/>
      <c r="AO4" s="193"/>
      <c r="AP4" s="193"/>
      <c r="AQ4" s="193"/>
      <c r="AR4" s="193"/>
      <c r="AS4" s="193"/>
      <c r="AT4" s="193"/>
      <c r="AU4" s="193"/>
      <c r="AV4" s="193"/>
      <c r="AW4" s="193"/>
      <c r="AX4" s="193"/>
      <c r="AY4" s="193"/>
      <c r="AZ4" s="193"/>
      <c r="BA4" s="30"/>
    </row>
    <row r="5" spans="2:57" s="31" customFormat="1" x14ac:dyDescent="0.45">
      <c r="B5" s="30"/>
      <c r="C5" s="33" t="s">
        <v>1</v>
      </c>
      <c r="D5" s="33" t="s">
        <v>2</v>
      </c>
      <c r="E5" s="33"/>
      <c r="F5" s="33"/>
      <c r="G5" s="33"/>
      <c r="H5" s="33"/>
      <c r="I5" s="33"/>
      <c r="J5" s="33"/>
      <c r="K5" s="33"/>
      <c r="L5" s="30"/>
      <c r="M5" s="30"/>
      <c r="N5" s="30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 t="s">
        <v>3</v>
      </c>
      <c r="BA5" s="34"/>
      <c r="BB5" s="28"/>
    </row>
    <row r="6" spans="2:57" s="31" customFormat="1" x14ac:dyDescent="0.45">
      <c r="B6" s="30"/>
      <c r="C6" s="35"/>
      <c r="D6" s="35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6">
        <v>46153</v>
      </c>
      <c r="BA6" s="34"/>
      <c r="BB6" s="28"/>
    </row>
    <row r="7" spans="2:57" s="31" customFormat="1" ht="33" thickBot="1" x14ac:dyDescent="0.5"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C7" s="37"/>
      <c r="BD7" s="37"/>
      <c r="BE7" s="37"/>
    </row>
    <row r="8" spans="2:57" ht="33" thickTop="1" x14ac:dyDescent="0.45">
      <c r="B8" s="38"/>
      <c r="C8" s="194" t="s">
        <v>4</v>
      </c>
      <c r="D8" s="194"/>
      <c r="E8" s="194"/>
      <c r="F8" s="194"/>
      <c r="G8" s="194"/>
      <c r="H8" s="194" t="s">
        <v>5</v>
      </c>
      <c r="I8" s="194"/>
      <c r="J8" s="194"/>
      <c r="K8" s="194"/>
      <c r="L8" s="194"/>
      <c r="M8" s="185"/>
      <c r="N8" s="194" t="s">
        <v>6</v>
      </c>
      <c r="O8" s="194"/>
      <c r="P8" s="194"/>
      <c r="Q8" s="194" t="s">
        <v>7</v>
      </c>
      <c r="R8" s="194"/>
      <c r="S8" s="194"/>
      <c r="T8" s="188" t="s">
        <v>8</v>
      </c>
      <c r="U8" s="189"/>
      <c r="V8" s="190"/>
      <c r="W8" s="188" t="s">
        <v>9</v>
      </c>
      <c r="X8" s="189"/>
      <c r="Y8" s="190"/>
      <c r="Z8" s="188" t="s">
        <v>10</v>
      </c>
      <c r="AA8" s="189"/>
      <c r="AB8" s="190"/>
      <c r="AC8" s="188" t="s">
        <v>11</v>
      </c>
      <c r="AD8" s="189"/>
      <c r="AE8" s="189"/>
      <c r="AF8" s="189"/>
      <c r="AG8" s="189"/>
      <c r="AH8" s="190"/>
      <c r="AI8" s="188" t="s">
        <v>12</v>
      </c>
      <c r="AJ8" s="189"/>
      <c r="AK8" s="190"/>
      <c r="AL8" s="188" t="s">
        <v>13</v>
      </c>
      <c r="AM8" s="189"/>
      <c r="AN8" s="190"/>
      <c r="AO8" s="188" t="s">
        <v>14</v>
      </c>
      <c r="AP8" s="189"/>
      <c r="AQ8" s="190"/>
      <c r="AR8" s="188" t="s">
        <v>15</v>
      </c>
      <c r="AS8" s="189"/>
      <c r="AT8" s="190"/>
      <c r="AU8" s="188" t="s">
        <v>16</v>
      </c>
      <c r="AV8" s="189"/>
      <c r="AW8" s="190"/>
      <c r="AX8" s="188" t="s">
        <v>17</v>
      </c>
      <c r="AY8" s="189"/>
      <c r="AZ8" s="190"/>
      <c r="BA8" s="38"/>
      <c r="BB8" s="29"/>
      <c r="BC8" s="37"/>
      <c r="BD8" s="62" t="s">
        <v>18</v>
      </c>
      <c r="BE8" s="37"/>
    </row>
    <row r="9" spans="2:57" ht="161.25" x14ac:dyDescent="0.45">
      <c r="B9" s="38"/>
      <c r="C9" s="39" t="s">
        <v>19</v>
      </c>
      <c r="D9" s="39" t="s">
        <v>20</v>
      </c>
      <c r="E9" s="39" t="s">
        <v>21</v>
      </c>
      <c r="F9" s="39" t="s">
        <v>22</v>
      </c>
      <c r="G9" s="39" t="s">
        <v>23</v>
      </c>
      <c r="H9" s="40" t="s">
        <v>24</v>
      </c>
      <c r="I9" s="39" t="s">
        <v>25</v>
      </c>
      <c r="J9" s="39" t="s">
        <v>26</v>
      </c>
      <c r="K9" s="39" t="s">
        <v>27</v>
      </c>
      <c r="L9" s="41" t="s">
        <v>28</v>
      </c>
      <c r="M9" s="186" t="s">
        <v>29</v>
      </c>
      <c r="N9" s="39" t="s">
        <v>30</v>
      </c>
      <c r="O9" s="39" t="s">
        <v>31</v>
      </c>
      <c r="P9" s="41" t="s">
        <v>32</v>
      </c>
      <c r="Q9" s="39" t="s">
        <v>33</v>
      </c>
      <c r="R9" s="39" t="s">
        <v>34</v>
      </c>
      <c r="S9" s="41" t="s">
        <v>35</v>
      </c>
      <c r="T9" s="40" t="s">
        <v>36</v>
      </c>
      <c r="U9" s="39" t="s">
        <v>37</v>
      </c>
      <c r="V9" s="41" t="s">
        <v>38</v>
      </c>
      <c r="W9" s="39" t="s">
        <v>39</v>
      </c>
      <c r="X9" s="39" t="s">
        <v>40</v>
      </c>
      <c r="Y9" s="41" t="s">
        <v>41</v>
      </c>
      <c r="Z9" s="39" t="s">
        <v>42</v>
      </c>
      <c r="AA9" s="39" t="s">
        <v>43</v>
      </c>
      <c r="AB9" s="41" t="s">
        <v>44</v>
      </c>
      <c r="AC9" s="39" t="s">
        <v>45</v>
      </c>
      <c r="AD9" s="39" t="s">
        <v>46</v>
      </c>
      <c r="AE9" s="40" t="s">
        <v>47</v>
      </c>
      <c r="AF9" s="41" t="s">
        <v>48</v>
      </c>
      <c r="AG9" s="39" t="s">
        <v>49</v>
      </c>
      <c r="AH9" s="41" t="s">
        <v>50</v>
      </c>
      <c r="AI9" s="39" t="s">
        <v>51</v>
      </c>
      <c r="AJ9" s="39" t="s">
        <v>52</v>
      </c>
      <c r="AK9" s="41" t="s">
        <v>53</v>
      </c>
      <c r="AL9" s="39" t="s">
        <v>54</v>
      </c>
      <c r="AM9" s="39" t="s">
        <v>55</v>
      </c>
      <c r="AN9" s="41" t="s">
        <v>56</v>
      </c>
      <c r="AO9" s="39" t="s">
        <v>57</v>
      </c>
      <c r="AP9" s="39" t="s">
        <v>58</v>
      </c>
      <c r="AQ9" s="41" t="s">
        <v>59</v>
      </c>
      <c r="AR9" s="39" t="s">
        <v>60</v>
      </c>
      <c r="AS9" s="39" t="s">
        <v>61</v>
      </c>
      <c r="AT9" s="41" t="s">
        <v>62</v>
      </c>
      <c r="AU9" s="39" t="s">
        <v>63</v>
      </c>
      <c r="AV9" s="39" t="s">
        <v>64</v>
      </c>
      <c r="AW9" s="41" t="s">
        <v>65</v>
      </c>
      <c r="AX9" s="39" t="s">
        <v>66</v>
      </c>
      <c r="AY9" s="39" t="s">
        <v>67</v>
      </c>
      <c r="AZ9" s="39" t="s">
        <v>68</v>
      </c>
      <c r="BA9" s="38"/>
      <c r="BB9" s="29"/>
      <c r="BC9" s="37"/>
      <c r="BD9" s="42" t="s">
        <v>69</v>
      </c>
      <c r="BE9" s="37"/>
    </row>
    <row r="10" spans="2:57" s="29" customFormat="1" x14ac:dyDescent="0.45">
      <c r="B10" s="38"/>
      <c r="C10" s="43">
        <f>ROW()-ROW(Facilities_Masjids[[#Headers],[م]])</f>
        <v>1</v>
      </c>
      <c r="D10" s="43" t="str">
        <f>_xlfn.XLOOKUP(Facilities_Masjids[[#This Row],[المدينة]],Saudi_Regions_Cities[المدينة],Saudi_Regions_Cities[المنطقة الإدارية],"")</f>
        <v>المنطقة الشرقية</v>
      </c>
      <c r="E10" s="43">
        <f>_xlfn.XLOOKUP(Facilities_Masjids[[#This Row],[المدينة]],Saudi_Regions_Cities[المدينة],Saudi_Regions_Cities[رمز المدينة],"")</f>
        <v>3001</v>
      </c>
      <c r="F10" s="43" t="s">
        <v>70</v>
      </c>
      <c r="G10" s="43" t="s">
        <v>71</v>
      </c>
      <c r="H10" s="44">
        <f>_xlfn.XLOOKUP(Facilities_Masjids[[#This Row],[تصنيف المرفق]],Facility_Classifications[تصنيف المرفق],Facility_Classifications[رمز تصنيف المرفق],"")</f>
        <v>1</v>
      </c>
      <c r="I10" s="43" t="s">
        <v>72</v>
      </c>
      <c r="J10" s="43">
        <f>VALUE(
Facilities_Masjids[[#This Row],[رمز تصنيف المرفق]]&amp;
TEXT(
IF(Facilities_Masjids[[#This Row],[المساحة الكلية للمرفق (م2)]]="",
COUNTA(Facilities_Masjids[المساحة الكلية للمرفق (م2)])+COUNTBLANK(INDEX(Facilities_Masjids[المساحة الكلية للمرفق (م2)],1):INDEX(Facilities_Masjids[المساحة الكلية للمرفق (م2)],ROW()-ROW(Facilities_Masjids[[#Headers],[رمز المرفق]]))),
IFERROR(
IF(COUNTIF(Facilities_Masjids[المساحة الكلية للمرفق (م2)],Facilities_Masjids[[#This Row],[المساحة الكلية للمرفق (م2)]])=1,
_xlfn.RANK.EQ(Facilities_Masjids[[#This Row],[المساحة الكلية للمرفق (م2)]],Facilities_Masjids[المساحة الكلية للمرفق (م2)]),
_xlfn.RANK.EQ(Facilities_Masjids[[#This Row],[المساحة الكلية للمرفق (م2)]],Facilities_Masjids[المساحة الكلية للمرفق (م2)])+
COUNTIF(INDEX(Facilities_Masjids[المساحة الكلية للمرفق (م2)],1):INDEX(Facilities_Masjids[المساحة الكلية للمرفق (م2)],ROW()-ROW(Facilities_Masjids[[#Headers],[رمز المرفق]])),Facilities_Masjids[[#This Row],[المساحة الكلية للمرفق (م2)]])-1),
0)),
"00"))</f>
        <v>101</v>
      </c>
      <c r="K10" s="45" t="s">
        <v>73</v>
      </c>
      <c r="L10" s="46" t="s">
        <v>74</v>
      </c>
      <c r="M10" s="187"/>
      <c r="N10" s="47" t="s">
        <v>75</v>
      </c>
      <c r="O10" s="48">
        <v>26.425984700000001</v>
      </c>
      <c r="P10" s="49">
        <v>50.090640200000003</v>
      </c>
      <c r="Q10" s="50">
        <v>6500</v>
      </c>
      <c r="R10" s="50">
        <v>2343</v>
      </c>
      <c r="S10" s="51">
        <v>258</v>
      </c>
      <c r="T10" s="52">
        <v>0</v>
      </c>
      <c r="U10" s="50">
        <v>5</v>
      </c>
      <c r="V10" s="51">
        <v>62</v>
      </c>
      <c r="W10" s="50">
        <f>SUM(Facilities_Masjids[[#This Row],[عدد صفوف الرجال]:[عدد صفوف النساء]])</f>
        <v>27</v>
      </c>
      <c r="X10" s="50">
        <v>23</v>
      </c>
      <c r="Y10" s="51">
        <v>4</v>
      </c>
      <c r="Z10" s="50">
        <f>SUM(Facilities_Masjids[[#This Row],[سعة المرفق من المصلين]:[سعة المرفق من المصليات]])</f>
        <v>3560</v>
      </c>
      <c r="AA10" s="50">
        <v>3216</v>
      </c>
      <c r="AB10" s="51">
        <v>344</v>
      </c>
      <c r="AC10" s="50">
        <f>SUM(Facilities_Masjids[[#This Row],[إجمالي عدد دورات مياه الرجال]],Facilities_Masjids[[#This Row],[إجمالي عدد دورات مياه النساء]])</f>
        <v>13</v>
      </c>
      <c r="AD10" s="50">
        <f>SUM(Facilities_Masjids[[#This Row],[عدد دورات مياه المعاقين من الرجال]],Facilities_Masjids[[#This Row],[عدد دورات مياه المعاقات من النساء]])</f>
        <v>0</v>
      </c>
      <c r="AE10" s="52">
        <v>10</v>
      </c>
      <c r="AF10" s="51">
        <v>0</v>
      </c>
      <c r="AG10" s="50">
        <v>3</v>
      </c>
      <c r="AH10" s="51">
        <v>0</v>
      </c>
      <c r="AI10" s="50">
        <f>SUM(Facilities_Masjids[[#This Row],[عدد مواضئ الرجال]:[عدد مواضئ النساء]])</f>
        <v>35</v>
      </c>
      <c r="AJ10" s="50">
        <v>30</v>
      </c>
      <c r="AK10" s="51">
        <v>5</v>
      </c>
      <c r="AL10" s="50">
        <f>SUM(Facilities_Masjids[[#This Row],[عدد مصاحف الرجال]:[عدد مصاحف النساء]])</f>
        <v>2660</v>
      </c>
      <c r="AM10" s="50">
        <v>2598</v>
      </c>
      <c r="AN10" s="51">
        <v>62</v>
      </c>
      <c r="AO10" s="50">
        <f>SUM(Facilities_Masjids[[#This Row],[عدد حاملات المصاحف للرجال]:[عدد حاملات المصاحف للنساء]])</f>
        <v>46</v>
      </c>
      <c r="AP10" s="50">
        <v>45</v>
      </c>
      <c r="AQ10" s="51">
        <v>1</v>
      </c>
      <c r="AR10" s="50">
        <f>SUM(Facilities_Masjids[[#This Row],[عدد دواليب المصاحف للرجال]:[عدد دواليب المصاحف للنساء]])</f>
        <v>111</v>
      </c>
      <c r="AS10" s="50">
        <v>110</v>
      </c>
      <c r="AT10" s="51">
        <v>1</v>
      </c>
      <c r="AU10" s="50">
        <f>SUM(Facilities_Masjids[[#This Row],[عدد الكراسي للرجال]:[عدد الكراسي للنساء]])</f>
        <v>58</v>
      </c>
      <c r="AV10" s="50">
        <v>57</v>
      </c>
      <c r="AW10" s="51">
        <v>1</v>
      </c>
      <c r="AX10" s="53" t="b">
        <v>1</v>
      </c>
      <c r="AY10" s="53" t="b">
        <v>1</v>
      </c>
      <c r="AZ10" s="53" t="b">
        <v>1</v>
      </c>
      <c r="BA10" s="38"/>
      <c r="BC10" s="37"/>
      <c r="BD10" s="54" t="s">
        <v>76</v>
      </c>
      <c r="BE10" s="37"/>
    </row>
    <row r="11" spans="2:57" x14ac:dyDescent="0.45">
      <c r="B11" s="38"/>
      <c r="C11" s="43">
        <f>ROW()-ROW(Facilities_Masjids[[#Headers],[م]])</f>
        <v>2</v>
      </c>
      <c r="D11" s="43" t="str">
        <f>_xlfn.XLOOKUP(Facilities_Masjids[[#This Row],[المدينة]],Saudi_Regions_Cities[المدينة],Saudi_Regions_Cities[المنطقة الإدارية],"")</f>
        <v>المنطقة الشرقية</v>
      </c>
      <c r="E11" s="43">
        <f>_xlfn.XLOOKUP(Facilities_Masjids[[#This Row],[المدينة]],Saudi_Regions_Cities[المدينة],Saudi_Regions_Cities[رمز المدينة],"")</f>
        <v>3001</v>
      </c>
      <c r="F11" s="43" t="s">
        <v>70</v>
      </c>
      <c r="G11" s="43" t="s">
        <v>77</v>
      </c>
      <c r="H11" s="44">
        <f>_xlfn.XLOOKUP(Facilities_Masjids[[#This Row],[تصنيف المرفق]],Facility_Classifications[تصنيف المرفق],Facility_Classifications[رمز تصنيف المرفق],"")</f>
        <v>1</v>
      </c>
      <c r="I11" s="43" t="s">
        <v>72</v>
      </c>
      <c r="J11" s="43">
        <f>VALUE(
Facilities_Masjids[[#This Row],[رمز تصنيف المرفق]]&amp;
TEXT(
IF(Facilities_Masjids[[#This Row],[المساحة الكلية للمرفق (م2)]]="",
COUNTA(Facilities_Masjids[المساحة الكلية للمرفق (م2)])+COUNTBLANK(INDEX(Facilities_Masjids[المساحة الكلية للمرفق (م2)],1):INDEX(Facilities_Masjids[المساحة الكلية للمرفق (م2)],ROW()-ROW(Facilities_Masjids[[#Headers],[رمز المرفق]]))),
IFERROR(
IF(COUNTIF(Facilities_Masjids[المساحة الكلية للمرفق (م2)],Facilities_Masjids[[#This Row],[المساحة الكلية للمرفق (م2)]])=1,
_xlfn.RANK.EQ(Facilities_Masjids[[#This Row],[المساحة الكلية للمرفق (م2)]],Facilities_Masjids[المساحة الكلية للمرفق (م2)]),
_xlfn.RANK.EQ(Facilities_Masjids[[#This Row],[المساحة الكلية للمرفق (م2)]],Facilities_Masjids[المساحة الكلية للمرفق (م2)])+
COUNTIF(INDEX(Facilities_Masjids[المساحة الكلية للمرفق (م2)],1):INDEX(Facilities_Masjids[المساحة الكلية للمرفق (م2)],ROW()-ROW(Facilities_Masjids[[#Headers],[رمز المرفق]])),Facilities_Masjids[[#This Row],[المساحة الكلية للمرفق (م2)]])-1),
0)),
"00"))</f>
        <v>106</v>
      </c>
      <c r="K11" s="45" t="s">
        <v>78</v>
      </c>
      <c r="L11" s="46" t="s">
        <v>79</v>
      </c>
      <c r="M11" s="187"/>
      <c r="N11" s="47" t="s">
        <v>80</v>
      </c>
      <c r="O11" s="48">
        <v>26.400913017158</v>
      </c>
      <c r="P11" s="49">
        <v>50.052217881527298</v>
      </c>
      <c r="Q11" s="50">
        <v>3200</v>
      </c>
      <c r="R11" s="50">
        <v>550</v>
      </c>
      <c r="S11" s="51">
        <v>40</v>
      </c>
      <c r="T11" s="52">
        <v>33</v>
      </c>
      <c r="U11" s="50">
        <v>4</v>
      </c>
      <c r="V11" s="51">
        <v>6</v>
      </c>
      <c r="W11" s="50">
        <f>SUM(Facilities_Masjids[[#This Row],[عدد صفوف الرجال]:[عدد صفوف النساء]])</f>
        <v>15</v>
      </c>
      <c r="X11" s="50">
        <v>11</v>
      </c>
      <c r="Y11" s="51">
        <v>4</v>
      </c>
      <c r="Z11" s="50">
        <f>SUM(Facilities_Masjids[[#This Row],[سعة المرفق من المصلين]:[سعة المرفق من المصليات]])</f>
        <v>830</v>
      </c>
      <c r="AA11" s="50">
        <v>780</v>
      </c>
      <c r="AB11" s="51">
        <v>50</v>
      </c>
      <c r="AC11" s="50">
        <f>SUM(Facilities_Masjids[[#This Row],[إجمالي عدد دورات مياه الرجال]],Facilities_Masjids[[#This Row],[إجمالي عدد دورات مياه النساء]])</f>
        <v>6</v>
      </c>
      <c r="AD11" s="50">
        <f>SUM(Facilities_Masjids[[#This Row],[عدد دورات مياه المعاقين من الرجال]],Facilities_Masjids[[#This Row],[عدد دورات مياه المعاقات من النساء]])</f>
        <v>1</v>
      </c>
      <c r="AE11" s="52">
        <v>4</v>
      </c>
      <c r="AF11" s="51">
        <v>1</v>
      </c>
      <c r="AG11" s="50">
        <v>2</v>
      </c>
      <c r="AH11" s="51">
        <v>0</v>
      </c>
      <c r="AI11" s="50">
        <f>SUM(Facilities_Masjids[[#This Row],[عدد مواضئ الرجال]:[عدد مواضئ النساء]])</f>
        <v>15</v>
      </c>
      <c r="AJ11" s="50">
        <v>13</v>
      </c>
      <c r="AK11" s="51">
        <v>2</v>
      </c>
      <c r="AL11" s="50">
        <f>SUM(Facilities_Masjids[[#This Row],[عدد مصاحف الرجال]:[عدد مصاحف النساء]])</f>
        <v>168</v>
      </c>
      <c r="AM11" s="50">
        <v>160</v>
      </c>
      <c r="AN11" s="51">
        <v>8</v>
      </c>
      <c r="AO11" s="50">
        <f>SUM(Facilities_Masjids[[#This Row],[عدد حاملات المصاحف للرجال]:[عدد حاملات المصاحف للنساء]])</f>
        <v>16</v>
      </c>
      <c r="AP11" s="50">
        <v>15</v>
      </c>
      <c r="AQ11" s="51">
        <v>1</v>
      </c>
      <c r="AR11" s="50">
        <f>SUM(Facilities_Masjids[[#This Row],[عدد دواليب المصاحف للرجال]:[عدد دواليب المصاحف للنساء]])</f>
        <v>12</v>
      </c>
      <c r="AS11" s="50">
        <v>10</v>
      </c>
      <c r="AT11" s="51">
        <v>2</v>
      </c>
      <c r="AU11" s="50">
        <f>SUM(Facilities_Masjids[[#This Row],[عدد الكراسي للرجال]:[عدد الكراسي للنساء]])</f>
        <v>24</v>
      </c>
      <c r="AV11" s="50">
        <v>21</v>
      </c>
      <c r="AW11" s="51">
        <v>3</v>
      </c>
      <c r="AX11" s="53" t="b">
        <v>1</v>
      </c>
      <c r="AY11" s="53" t="b">
        <v>1</v>
      </c>
      <c r="AZ11" s="53" t="b">
        <v>1</v>
      </c>
      <c r="BA11" s="38"/>
      <c r="BB11" s="29"/>
      <c r="BC11" s="37"/>
      <c r="BD11" s="55" t="s">
        <v>81</v>
      </c>
      <c r="BE11" s="37"/>
    </row>
    <row r="12" spans="2:57" x14ac:dyDescent="0.45">
      <c r="B12" s="38"/>
      <c r="C12" s="43">
        <f>ROW()-ROW(Facilities_Masjids[[#Headers],[م]])</f>
        <v>3</v>
      </c>
      <c r="D12" s="43" t="str">
        <f>_xlfn.XLOOKUP(Facilities_Masjids[[#This Row],[المدينة]],Saudi_Regions_Cities[المدينة],Saudi_Regions_Cities[المنطقة الإدارية],"")</f>
        <v>المنطقة الشرقية</v>
      </c>
      <c r="E12" s="43">
        <f>_xlfn.XLOOKUP(Facilities_Masjids[[#This Row],[المدينة]],Saudi_Regions_Cities[المدينة],Saudi_Regions_Cities[رمز المدينة],"")</f>
        <v>3001</v>
      </c>
      <c r="F12" s="43" t="s">
        <v>70</v>
      </c>
      <c r="G12" s="43" t="s">
        <v>82</v>
      </c>
      <c r="H12" s="44">
        <f>_xlfn.XLOOKUP(Facilities_Masjids[[#This Row],[تصنيف المرفق]],Facility_Classifications[تصنيف المرفق],Facility_Classifications[رمز تصنيف المرفق],"")</f>
        <v>1</v>
      </c>
      <c r="I12" s="43" t="s">
        <v>72</v>
      </c>
      <c r="J12" s="43">
        <f>VALUE(
Facilities_Masjids[[#This Row],[رمز تصنيف المرفق]]&amp;
TEXT(
IF(Facilities_Masjids[[#This Row],[المساحة الكلية للمرفق (م2)]]="",
COUNTA(Facilities_Masjids[المساحة الكلية للمرفق (م2)])+COUNTBLANK(INDEX(Facilities_Masjids[المساحة الكلية للمرفق (م2)],1):INDEX(Facilities_Masjids[المساحة الكلية للمرفق (م2)],ROW()-ROW(Facilities_Masjids[[#Headers],[رمز المرفق]]))),
IFERROR(
IF(COUNTIF(Facilities_Masjids[المساحة الكلية للمرفق (م2)],Facilities_Masjids[[#This Row],[المساحة الكلية للمرفق (م2)]])=1,
_xlfn.RANK.EQ(Facilities_Masjids[[#This Row],[المساحة الكلية للمرفق (م2)]],Facilities_Masjids[المساحة الكلية للمرفق (م2)]),
_xlfn.RANK.EQ(Facilities_Masjids[[#This Row],[المساحة الكلية للمرفق (م2)]],Facilities_Masjids[المساحة الكلية للمرفق (م2)])+
COUNTIF(INDEX(Facilities_Masjids[المساحة الكلية للمرفق (م2)],1):INDEX(Facilities_Masjids[المساحة الكلية للمرفق (م2)],ROW()-ROW(Facilities_Masjids[[#Headers],[رمز المرفق]])),Facilities_Masjids[[#This Row],[المساحة الكلية للمرفق (م2)]])-1),
0)),
"00"))</f>
        <v>107</v>
      </c>
      <c r="K12" s="45" t="s">
        <v>83</v>
      </c>
      <c r="L12" s="46" t="s">
        <v>84</v>
      </c>
      <c r="M12" s="187"/>
      <c r="N12" s="47" t="s">
        <v>85</v>
      </c>
      <c r="O12" s="48">
        <v>26.369619</v>
      </c>
      <c r="P12" s="49">
        <v>50.098590984656397</v>
      </c>
      <c r="Q12" s="50">
        <v>2800</v>
      </c>
      <c r="R12" s="50">
        <v>600</v>
      </c>
      <c r="S12" s="51">
        <v>70</v>
      </c>
      <c r="T12" s="52">
        <v>22</v>
      </c>
      <c r="U12" s="50">
        <v>8</v>
      </c>
      <c r="V12" s="51">
        <v>11</v>
      </c>
      <c r="W12" s="50">
        <f>SUM(Facilities_Masjids[[#This Row],[عدد صفوف الرجال]:[عدد صفوف النساء]])</f>
        <v>16</v>
      </c>
      <c r="X12" s="50">
        <v>12</v>
      </c>
      <c r="Y12" s="51">
        <v>4</v>
      </c>
      <c r="Z12" s="50">
        <f>SUM(Facilities_Masjids[[#This Row],[سعة المرفق من المصلين]:[سعة المرفق من المصليات]])</f>
        <v>874</v>
      </c>
      <c r="AA12" s="50">
        <v>768</v>
      </c>
      <c r="AB12" s="51">
        <v>106</v>
      </c>
      <c r="AC12" s="50">
        <f>SUM(Facilities_Masjids[[#This Row],[إجمالي عدد دورات مياه الرجال]],Facilities_Masjids[[#This Row],[إجمالي عدد دورات مياه النساء]])</f>
        <v>8</v>
      </c>
      <c r="AD12" s="50">
        <f>SUM(Facilities_Masjids[[#This Row],[عدد دورات مياه المعاقين من الرجال]],Facilities_Masjids[[#This Row],[عدد دورات مياه المعاقات من النساء]])</f>
        <v>0</v>
      </c>
      <c r="AE12" s="52">
        <v>6</v>
      </c>
      <c r="AF12" s="51">
        <v>0</v>
      </c>
      <c r="AG12" s="50">
        <v>2</v>
      </c>
      <c r="AH12" s="51">
        <v>0</v>
      </c>
      <c r="AI12" s="50">
        <f>SUM(Facilities_Masjids[[#This Row],[عدد مواضئ الرجال]:[عدد مواضئ النساء]])</f>
        <v>16</v>
      </c>
      <c r="AJ12" s="50">
        <v>12</v>
      </c>
      <c r="AK12" s="51">
        <v>4</v>
      </c>
      <c r="AL12" s="50">
        <f>SUM(Facilities_Masjids[[#This Row],[عدد مصاحف الرجال]:[عدد مصاحف النساء]])</f>
        <v>425</v>
      </c>
      <c r="AM12" s="50">
        <v>387</v>
      </c>
      <c r="AN12" s="51">
        <v>38</v>
      </c>
      <c r="AO12" s="50">
        <f>SUM(Facilities_Masjids[[#This Row],[عدد حاملات المصاحف للرجال]:[عدد حاملات المصاحف للنساء]])</f>
        <v>30</v>
      </c>
      <c r="AP12" s="50">
        <v>28</v>
      </c>
      <c r="AQ12" s="51">
        <v>2</v>
      </c>
      <c r="AR12" s="50">
        <f>SUM(Facilities_Masjids[[#This Row],[عدد دواليب المصاحف للرجال]:[عدد دواليب المصاحف للنساء]])</f>
        <v>11</v>
      </c>
      <c r="AS12" s="50">
        <v>10</v>
      </c>
      <c r="AT12" s="51">
        <v>1</v>
      </c>
      <c r="AU12" s="50">
        <f>SUM(Facilities_Masjids[[#This Row],[عدد الكراسي للرجال]:[عدد الكراسي للنساء]])</f>
        <v>34</v>
      </c>
      <c r="AV12" s="50">
        <v>25</v>
      </c>
      <c r="AW12" s="51">
        <v>9</v>
      </c>
      <c r="AX12" s="53" t="b">
        <v>1</v>
      </c>
      <c r="AY12" s="53" t="b">
        <v>1</v>
      </c>
      <c r="AZ12" s="53" t="b">
        <v>1</v>
      </c>
      <c r="BA12" s="38"/>
      <c r="BB12" s="29"/>
      <c r="BC12" s="37"/>
      <c r="BD12" s="56" t="s">
        <v>86</v>
      </c>
      <c r="BE12" s="37"/>
    </row>
    <row r="13" spans="2:57" x14ac:dyDescent="0.45">
      <c r="B13" s="57"/>
      <c r="C13" s="58">
        <f>ROW()-ROW(Facilities_Masjids[[#Headers],[م]])</f>
        <v>4</v>
      </c>
      <c r="D13" s="58" t="str">
        <f>_xlfn.XLOOKUP(Facilities_Masjids[[#This Row],[المدينة]],Saudi_Regions_Cities[المدينة],Saudi_Regions_Cities[المنطقة الإدارية],"")</f>
        <v>منطقة مكة المكرمة</v>
      </c>
      <c r="E13" s="58">
        <f>_xlfn.XLOOKUP(Facilities_Masjids[[#This Row],[المدينة]],Saudi_Regions_Cities[المدينة],Saudi_Regions_Cities[رمز المدينة],"")</f>
        <v>2002</v>
      </c>
      <c r="F13" s="43" t="s">
        <v>87</v>
      </c>
      <c r="G13" s="43" t="s">
        <v>88</v>
      </c>
      <c r="H13" s="44">
        <f>_xlfn.XLOOKUP(Facilities_Masjids[[#This Row],[تصنيف المرفق]],Facility_Classifications[تصنيف المرفق],Facility_Classifications[رمز تصنيف المرفق],"")</f>
        <v>1</v>
      </c>
      <c r="I13" s="43" t="s">
        <v>72</v>
      </c>
      <c r="J13" s="43">
        <f>VALUE(
Facilities_Masjids[[#This Row],[رمز تصنيف المرفق]]&amp;
TEXT(
IF(Facilities_Masjids[[#This Row],[المساحة الكلية للمرفق (م2)]]="",
COUNTA(Facilities_Masjids[المساحة الكلية للمرفق (م2)])+COUNTBLANK(INDEX(Facilities_Masjids[المساحة الكلية للمرفق (م2)],1):INDEX(Facilities_Masjids[المساحة الكلية للمرفق (م2)],ROW()-ROW(Facilities_Masjids[[#Headers],[رمز المرفق]]))),
IFERROR(
IF(COUNTIF(Facilities_Masjids[المساحة الكلية للمرفق (م2)],Facilities_Masjids[[#This Row],[المساحة الكلية للمرفق (م2)]])=1,
_xlfn.RANK.EQ(Facilities_Masjids[[#This Row],[المساحة الكلية للمرفق (م2)]],Facilities_Masjids[المساحة الكلية للمرفق (م2)]),
_xlfn.RANK.EQ(Facilities_Masjids[[#This Row],[المساحة الكلية للمرفق (م2)]],Facilities_Masjids[المساحة الكلية للمرفق (م2)])+
COUNTIF(INDEX(Facilities_Masjids[المساحة الكلية للمرفق (م2)],1):INDEX(Facilities_Masjids[المساحة الكلية للمرفق (م2)],ROW()-ROW(Facilities_Masjids[[#Headers],[رمز المرفق]])),Facilities_Masjids[[#This Row],[المساحة الكلية للمرفق (م2)]])-1),
0)),
"00"))</f>
        <v>102</v>
      </c>
      <c r="K13" s="45" t="s">
        <v>89</v>
      </c>
      <c r="L13" s="46" t="s">
        <v>90</v>
      </c>
      <c r="M13" s="187"/>
      <c r="N13" s="47" t="s">
        <v>91</v>
      </c>
      <c r="O13" s="48">
        <v>21.353458036316901</v>
      </c>
      <c r="P13" s="49">
        <v>39.837932279869598</v>
      </c>
      <c r="Q13" s="61">
        <v>6084</v>
      </c>
      <c r="R13" s="50">
        <v>1800</v>
      </c>
      <c r="S13" s="51">
        <v>289</v>
      </c>
      <c r="T13" s="52">
        <v>20</v>
      </c>
      <c r="U13" s="50">
        <v>2</v>
      </c>
      <c r="V13" s="51">
        <v>6</v>
      </c>
      <c r="W13" s="50">
        <f>SUM(Facilities_Masjids[[#This Row],[عدد صفوف الرجال]:[عدد صفوف النساء]])</f>
        <v>25</v>
      </c>
      <c r="X13" s="50">
        <v>20</v>
      </c>
      <c r="Y13" s="51">
        <v>5</v>
      </c>
      <c r="Z13" s="50">
        <f>SUM(Facilities_Masjids[[#This Row],[سعة المرفق من المصلين]:[سعة المرفق من المصليات]])</f>
        <v>2035</v>
      </c>
      <c r="AA13" s="50">
        <v>1925</v>
      </c>
      <c r="AB13" s="51">
        <v>110</v>
      </c>
      <c r="AC13" s="50">
        <f>SUM(Facilities_Masjids[[#This Row],[إجمالي عدد دورات مياه الرجال]],Facilities_Masjids[[#This Row],[إجمالي عدد دورات مياه النساء]])</f>
        <v>11</v>
      </c>
      <c r="AD13" s="50">
        <f>SUM(Facilities_Masjids[[#This Row],[عدد دورات مياه المعاقين من الرجال]],Facilities_Masjids[[#This Row],[عدد دورات مياه المعاقات من النساء]])</f>
        <v>0</v>
      </c>
      <c r="AE13" s="52">
        <v>7</v>
      </c>
      <c r="AF13" s="51">
        <v>0</v>
      </c>
      <c r="AG13" s="50">
        <v>4</v>
      </c>
      <c r="AH13" s="51">
        <v>0</v>
      </c>
      <c r="AI13" s="50">
        <f>SUM(Facilities_Masjids[[#This Row],[عدد مواضئ الرجال]:[عدد مواضئ النساء]])</f>
        <v>35</v>
      </c>
      <c r="AJ13" s="50">
        <v>30</v>
      </c>
      <c r="AK13" s="51">
        <v>5</v>
      </c>
      <c r="AL13" s="50">
        <f>SUM(Facilities_Masjids[[#This Row],[عدد مصاحف الرجال]:[عدد مصاحف النساء]])</f>
        <v>383</v>
      </c>
      <c r="AM13" s="50">
        <v>353</v>
      </c>
      <c r="AN13" s="51">
        <v>30</v>
      </c>
      <c r="AO13" s="50">
        <f>SUM(Facilities_Masjids[[#This Row],[عدد حاملات المصاحف للرجال]:[عدد حاملات المصاحف للنساء]])</f>
        <v>24</v>
      </c>
      <c r="AP13" s="50">
        <v>22</v>
      </c>
      <c r="AQ13" s="51">
        <v>2</v>
      </c>
      <c r="AR13" s="50">
        <f>SUM(Facilities_Masjids[[#This Row],[عدد دواليب المصاحف للرجال]:[عدد دواليب المصاحف للنساء]])</f>
        <v>37</v>
      </c>
      <c r="AS13" s="50">
        <v>35</v>
      </c>
      <c r="AT13" s="51">
        <v>2</v>
      </c>
      <c r="AU13" s="50">
        <f>SUM(Facilities_Masjids[[#This Row],[عدد الكراسي للرجال]:[عدد الكراسي للنساء]])</f>
        <v>13</v>
      </c>
      <c r="AV13" s="50">
        <v>12</v>
      </c>
      <c r="AW13" s="51">
        <v>1</v>
      </c>
      <c r="AX13" s="53" t="b">
        <v>1</v>
      </c>
      <c r="AY13" s="53" t="b">
        <v>1</v>
      </c>
      <c r="AZ13" s="53" t="b">
        <v>1</v>
      </c>
      <c r="BA13" s="57"/>
      <c r="BC13" s="37"/>
      <c r="BD13" s="37"/>
      <c r="BE13" s="37"/>
    </row>
    <row r="14" spans="2:57" x14ac:dyDescent="0.45">
      <c r="B14" s="57"/>
      <c r="C14" s="58">
        <f>ROW()-ROW(Facilities_Masjids[[#Headers],[م]])</f>
        <v>5</v>
      </c>
      <c r="D14" s="58" t="str">
        <f>_xlfn.XLOOKUP(Facilities_Masjids[[#This Row],[المدينة]],Saudi_Regions_Cities[المدينة],Saudi_Regions_Cities[المنطقة الإدارية],"")</f>
        <v>المنطقة الشرقية</v>
      </c>
      <c r="E14" s="58">
        <f>_xlfn.XLOOKUP(Facilities_Masjids[[#This Row],[المدينة]],Saudi_Regions_Cities[المدينة],Saudi_Regions_Cities[رمز المدينة],"")</f>
        <v>3003</v>
      </c>
      <c r="F14" s="43" t="s">
        <v>92</v>
      </c>
      <c r="G14" s="43" t="s">
        <v>93</v>
      </c>
      <c r="H14" s="44">
        <f>_xlfn.XLOOKUP(Facilities_Masjids[[#This Row],[تصنيف المرفق]],Facility_Classifications[تصنيف المرفق],Facility_Classifications[رمز تصنيف المرفق],"")</f>
        <v>2</v>
      </c>
      <c r="I14" s="43" t="s">
        <v>94</v>
      </c>
      <c r="J14" s="43">
        <f>VALUE(
Facilities_Masjids[[#This Row],[رمز تصنيف المرفق]]&amp;
TEXT(
IF(Facilities_Masjids[[#This Row],[المساحة الكلية للمرفق (م2)]]="",
COUNTA(Facilities_Masjids[المساحة الكلية للمرفق (م2)])+COUNTBLANK(INDEX(Facilities_Masjids[المساحة الكلية للمرفق (م2)],1):INDEX(Facilities_Masjids[المساحة الكلية للمرفق (م2)],ROW()-ROW(Facilities_Masjids[[#Headers],[رمز المرفق]]))),
IFERROR(
IF(COUNTIF(Facilities_Masjids[المساحة الكلية للمرفق (م2)],Facilities_Masjids[[#This Row],[المساحة الكلية للمرفق (م2)]])=1,
_xlfn.RANK.EQ(Facilities_Masjids[[#This Row],[المساحة الكلية للمرفق (م2)]],Facilities_Masjids[المساحة الكلية للمرفق (م2)]),
_xlfn.RANK.EQ(Facilities_Masjids[[#This Row],[المساحة الكلية للمرفق (م2)]],Facilities_Masjids[المساحة الكلية للمرفق (م2)])+
COUNTIF(INDEX(Facilities_Masjids[المساحة الكلية للمرفق (م2)],1):INDEX(Facilities_Masjids[المساحة الكلية للمرفق (م2)],ROW()-ROW(Facilities_Masjids[[#Headers],[رمز المرفق]])),Facilities_Masjids[[#This Row],[المساحة الكلية للمرفق (م2)]])-1),
0)),
"00"))</f>
        <v>205</v>
      </c>
      <c r="K14" s="45" t="s">
        <v>95</v>
      </c>
      <c r="L14" s="46" t="s">
        <v>96</v>
      </c>
      <c r="M14" s="187"/>
      <c r="N14" s="47" t="s">
        <v>97</v>
      </c>
      <c r="O14" s="48">
        <v>26.318340166613599</v>
      </c>
      <c r="P14" s="49">
        <v>50.211441426488904</v>
      </c>
      <c r="Q14" s="50">
        <v>3850</v>
      </c>
      <c r="R14" s="50">
        <v>400</v>
      </c>
      <c r="S14" s="51">
        <v>50</v>
      </c>
      <c r="T14" s="52">
        <v>67</v>
      </c>
      <c r="U14" s="50">
        <v>3</v>
      </c>
      <c r="V14" s="51">
        <v>16</v>
      </c>
      <c r="W14" s="50">
        <f>SUM(Facilities_Masjids[[#This Row],[عدد صفوف الرجال]:[عدد صفوف النساء]])</f>
        <v>14</v>
      </c>
      <c r="X14" s="50">
        <v>12</v>
      </c>
      <c r="Y14" s="51">
        <v>2</v>
      </c>
      <c r="Z14" s="50">
        <f>SUM(Facilities_Masjids[[#This Row],[سعة المرفق من المصلين]:[سعة المرفق من المصليات]])</f>
        <v>584</v>
      </c>
      <c r="AA14" s="50">
        <v>516</v>
      </c>
      <c r="AB14" s="51">
        <v>68</v>
      </c>
      <c r="AC14" s="50">
        <f>SUM(Facilities_Masjids[[#This Row],[إجمالي عدد دورات مياه الرجال]],Facilities_Masjids[[#This Row],[إجمالي عدد دورات مياه النساء]])</f>
        <v>9</v>
      </c>
      <c r="AD14" s="50">
        <f>SUM(Facilities_Masjids[[#This Row],[عدد دورات مياه المعاقين من الرجال]],Facilities_Masjids[[#This Row],[عدد دورات مياه المعاقات من النساء]])</f>
        <v>0</v>
      </c>
      <c r="AE14" s="52">
        <v>7</v>
      </c>
      <c r="AF14" s="51">
        <v>0</v>
      </c>
      <c r="AG14" s="50">
        <v>2</v>
      </c>
      <c r="AH14" s="51">
        <v>0</v>
      </c>
      <c r="AI14" s="50">
        <f>SUM(Facilities_Masjids[[#This Row],[عدد مواضئ الرجال]:[عدد مواضئ النساء]])</f>
        <v>9</v>
      </c>
      <c r="AJ14" s="50">
        <v>7</v>
      </c>
      <c r="AK14" s="51">
        <v>2</v>
      </c>
      <c r="AL14" s="50">
        <f>SUM(Facilities_Masjids[[#This Row],[عدد مصاحف الرجال]:[عدد مصاحف النساء]])</f>
        <v>348</v>
      </c>
      <c r="AM14" s="50">
        <v>315</v>
      </c>
      <c r="AN14" s="51">
        <v>33</v>
      </c>
      <c r="AO14" s="50">
        <f>SUM(Facilities_Masjids[[#This Row],[عدد حاملات المصاحف للرجال]:[عدد حاملات المصاحف للنساء]])</f>
        <v>28</v>
      </c>
      <c r="AP14" s="50">
        <v>22</v>
      </c>
      <c r="AQ14" s="51">
        <v>6</v>
      </c>
      <c r="AR14" s="50">
        <f>SUM(Facilities_Masjids[[#This Row],[عدد دواليب المصاحف للرجال]:[عدد دواليب المصاحف للنساء]])</f>
        <v>36</v>
      </c>
      <c r="AS14" s="50">
        <v>23</v>
      </c>
      <c r="AT14" s="51">
        <v>13</v>
      </c>
      <c r="AU14" s="50">
        <f>SUM(Facilities_Masjids[[#This Row],[عدد الكراسي للرجال]:[عدد الكراسي للنساء]])</f>
        <v>16</v>
      </c>
      <c r="AV14" s="50">
        <v>9</v>
      </c>
      <c r="AW14" s="51">
        <v>7</v>
      </c>
      <c r="AX14" s="53" t="b">
        <v>1</v>
      </c>
      <c r="AY14" s="53" t="b">
        <v>1</v>
      </c>
      <c r="AZ14" s="53" t="b">
        <v>1</v>
      </c>
      <c r="BA14" s="57"/>
    </row>
    <row r="15" spans="2:57" x14ac:dyDescent="0.45">
      <c r="B15" s="57"/>
      <c r="C15" s="58">
        <f>ROW()-ROW(Facilities_Masjids[[#Headers],[م]])</f>
        <v>6</v>
      </c>
      <c r="D15" s="58" t="str">
        <f>_xlfn.XLOOKUP(Facilities_Masjids[[#This Row],[المدينة]],Saudi_Regions_Cities[المدينة],Saudi_Regions_Cities[المنطقة الإدارية],"")</f>
        <v>المنطقة الشرقية</v>
      </c>
      <c r="E15" s="58">
        <f>_xlfn.XLOOKUP(Facilities_Masjids[[#This Row],[المدينة]],Saudi_Regions_Cities[المدينة],Saudi_Regions_Cities[رمز المدينة],"")</f>
        <v>3001</v>
      </c>
      <c r="F15" s="43" t="s">
        <v>70</v>
      </c>
      <c r="G15" s="43" t="s">
        <v>71</v>
      </c>
      <c r="H15" s="44">
        <f>_xlfn.XLOOKUP(Facilities_Masjids[[#This Row],[تصنيف المرفق]],Facility_Classifications[تصنيف المرفق],Facility_Classifications[رمز تصنيف المرفق],"")</f>
        <v>2</v>
      </c>
      <c r="I15" s="43" t="s">
        <v>94</v>
      </c>
      <c r="J15" s="43">
        <f>VALUE(
Facilities_Masjids[[#This Row],[رمز تصنيف المرفق]]&amp;
TEXT(
IF(Facilities_Masjids[[#This Row],[المساحة الكلية للمرفق (م2)]]="",
COUNTA(Facilities_Masjids[المساحة الكلية للمرفق (م2)])+COUNTBLANK(INDEX(Facilities_Masjids[المساحة الكلية للمرفق (م2)],1):INDEX(Facilities_Masjids[المساحة الكلية للمرفق (م2)],ROW()-ROW(Facilities_Masjids[[#Headers],[رمز المرفق]]))),
IFERROR(
IF(COUNTIF(Facilities_Masjids[المساحة الكلية للمرفق (م2)],Facilities_Masjids[[#This Row],[المساحة الكلية للمرفق (م2)]])=1,
_xlfn.RANK.EQ(Facilities_Masjids[[#This Row],[المساحة الكلية للمرفق (م2)]],Facilities_Masjids[المساحة الكلية للمرفق (م2)]),
_xlfn.RANK.EQ(Facilities_Masjids[[#This Row],[المساحة الكلية للمرفق (م2)]],Facilities_Masjids[المساحة الكلية للمرفق (م2)])+
COUNTIF(INDEX(Facilities_Masjids[المساحة الكلية للمرفق (م2)],1):INDEX(Facilities_Masjids[المساحة الكلية للمرفق (م2)],ROW()-ROW(Facilities_Masjids[[#Headers],[رمز المرفق]])),Facilities_Masjids[[#This Row],[المساحة الكلية للمرفق (م2)]])-1),
0)),
"00"))</f>
        <v>213</v>
      </c>
      <c r="K15" s="45" t="s">
        <v>98</v>
      </c>
      <c r="L15" s="46" t="s">
        <v>99</v>
      </c>
      <c r="M15" s="187"/>
      <c r="N15" s="47" t="s">
        <v>100</v>
      </c>
      <c r="O15" s="48">
        <v>26.4229245447595</v>
      </c>
      <c r="P15" s="49">
        <v>50.090646813492299</v>
      </c>
      <c r="Q15" s="50">
        <v>365</v>
      </c>
      <c r="R15" s="50">
        <v>233</v>
      </c>
      <c r="S15" s="51">
        <v>0</v>
      </c>
      <c r="T15" s="52">
        <v>0</v>
      </c>
      <c r="U15" s="50">
        <v>2</v>
      </c>
      <c r="V15" s="51">
        <v>20</v>
      </c>
      <c r="W15" s="50">
        <f>SUM(Facilities_Masjids[[#This Row],[عدد صفوف الرجال]:[عدد صفوف النساء]])</f>
        <v>7</v>
      </c>
      <c r="X15" s="50">
        <v>7</v>
      </c>
      <c r="Y15" s="51">
        <v>0</v>
      </c>
      <c r="Z15" s="50">
        <f>SUM(Facilities_Masjids[[#This Row],[سعة المرفق من المصلين]:[سعة المرفق من المصليات]])</f>
        <v>182</v>
      </c>
      <c r="AA15" s="50">
        <v>182</v>
      </c>
      <c r="AB15" s="51">
        <v>0</v>
      </c>
      <c r="AC15" s="50">
        <f>SUM(Facilities_Masjids[[#This Row],[إجمالي عدد دورات مياه الرجال]],Facilities_Masjids[[#This Row],[إجمالي عدد دورات مياه النساء]])</f>
        <v>6</v>
      </c>
      <c r="AD15" s="50">
        <f>SUM(Facilities_Masjids[[#This Row],[عدد دورات مياه المعاقين من الرجال]],Facilities_Masjids[[#This Row],[عدد دورات مياه المعاقات من النساء]])</f>
        <v>0</v>
      </c>
      <c r="AE15" s="52">
        <v>6</v>
      </c>
      <c r="AF15" s="51">
        <v>0</v>
      </c>
      <c r="AG15" s="50">
        <v>0</v>
      </c>
      <c r="AH15" s="51">
        <v>0</v>
      </c>
      <c r="AI15" s="50">
        <f>SUM(Facilities_Masjids[[#This Row],[عدد مواضئ الرجال]:[عدد مواضئ النساء]])</f>
        <v>10</v>
      </c>
      <c r="AJ15" s="50">
        <v>10</v>
      </c>
      <c r="AK15" s="51">
        <v>0</v>
      </c>
      <c r="AL15" s="50">
        <f>SUM(Facilities_Masjids[[#This Row],[عدد مصاحف الرجال]:[عدد مصاحف النساء]])</f>
        <v>433</v>
      </c>
      <c r="AM15" s="50">
        <v>433</v>
      </c>
      <c r="AN15" s="51">
        <v>0</v>
      </c>
      <c r="AO15" s="50">
        <f>SUM(Facilities_Masjids[[#This Row],[عدد حاملات المصاحف للرجال]:[عدد حاملات المصاحف للنساء]])</f>
        <v>14</v>
      </c>
      <c r="AP15" s="50">
        <v>14</v>
      </c>
      <c r="AQ15" s="51">
        <v>0</v>
      </c>
      <c r="AR15" s="50">
        <f>SUM(Facilities_Masjids[[#This Row],[عدد دواليب المصاحف للرجال]:[عدد دواليب المصاحف للنساء]])</f>
        <v>21</v>
      </c>
      <c r="AS15" s="50">
        <v>21</v>
      </c>
      <c r="AT15" s="51">
        <v>0</v>
      </c>
      <c r="AU15" s="50">
        <f>SUM(Facilities_Masjids[[#This Row],[عدد الكراسي للرجال]:[عدد الكراسي للنساء]])</f>
        <v>13</v>
      </c>
      <c r="AV15" s="50">
        <v>13</v>
      </c>
      <c r="AW15" s="51">
        <v>0</v>
      </c>
      <c r="AX15" s="53" t="b">
        <v>0</v>
      </c>
      <c r="AY15" s="53" t="b">
        <v>0</v>
      </c>
      <c r="AZ15" s="53" t="b">
        <v>1</v>
      </c>
      <c r="BA15" s="57"/>
    </row>
    <row r="16" spans="2:57" x14ac:dyDescent="0.45">
      <c r="B16" s="57"/>
      <c r="C16" s="58">
        <f>ROW()-ROW(Facilities_Masjids[[#Headers],[م]])</f>
        <v>7</v>
      </c>
      <c r="D16" s="58" t="str">
        <f>_xlfn.XLOOKUP(Facilities_Masjids[[#This Row],[المدينة]],Saudi_Regions_Cities[المدينة],Saudi_Regions_Cities[المنطقة الإدارية],"")</f>
        <v>المنطقة الشرقية</v>
      </c>
      <c r="E16" s="58">
        <f>_xlfn.XLOOKUP(Facilities_Masjids[[#This Row],[المدينة]],Saudi_Regions_Cities[المدينة],Saudi_Regions_Cities[رمز المدينة],"")</f>
        <v>3001</v>
      </c>
      <c r="F16" s="43" t="s">
        <v>70</v>
      </c>
      <c r="G16" s="43" t="s">
        <v>101</v>
      </c>
      <c r="H16" s="44">
        <f>_xlfn.XLOOKUP(Facilities_Masjids[[#This Row],[تصنيف المرفق]],Facility_Classifications[تصنيف المرفق],Facility_Classifications[رمز تصنيف المرفق],"")</f>
        <v>2</v>
      </c>
      <c r="I16" s="43" t="s">
        <v>94</v>
      </c>
      <c r="J16" s="43">
        <f>VALUE(
Facilities_Masjids[[#This Row],[رمز تصنيف المرفق]]&amp;
TEXT(
IF(Facilities_Masjids[[#This Row],[المساحة الكلية للمرفق (م2)]]="",
COUNTA(Facilities_Masjids[المساحة الكلية للمرفق (م2)])+COUNTBLANK(INDEX(Facilities_Masjids[المساحة الكلية للمرفق (م2)],1):INDEX(Facilities_Masjids[المساحة الكلية للمرفق (م2)],ROW()-ROW(Facilities_Masjids[[#Headers],[رمز المرفق]]))),
IFERROR(
IF(COUNTIF(Facilities_Masjids[المساحة الكلية للمرفق (م2)],Facilities_Masjids[[#This Row],[المساحة الكلية للمرفق (م2)]])=1,
_xlfn.RANK.EQ(Facilities_Masjids[[#This Row],[المساحة الكلية للمرفق (م2)]],Facilities_Masjids[المساحة الكلية للمرفق (م2)]),
_xlfn.RANK.EQ(Facilities_Masjids[[#This Row],[المساحة الكلية للمرفق (م2)]],Facilities_Masjids[المساحة الكلية للمرفق (م2)])+
COUNTIF(INDEX(Facilities_Masjids[المساحة الكلية للمرفق (م2)],1):INDEX(Facilities_Masjids[المساحة الكلية للمرفق (م2)],ROW()-ROW(Facilities_Masjids[[#Headers],[رمز المرفق]])),Facilities_Masjids[[#This Row],[المساحة الكلية للمرفق (م2)]])-1),
0)),
"00"))</f>
        <v>208</v>
      </c>
      <c r="K16" s="45" t="s">
        <v>102</v>
      </c>
      <c r="L16" s="46" t="s">
        <v>103</v>
      </c>
      <c r="M16" s="187"/>
      <c r="N16" s="47" t="s">
        <v>104</v>
      </c>
      <c r="O16" s="48">
        <v>26.427810075652499</v>
      </c>
      <c r="P16" s="49">
        <v>50.108315130686996</v>
      </c>
      <c r="Q16" s="50">
        <v>2695</v>
      </c>
      <c r="R16" s="50">
        <v>325</v>
      </c>
      <c r="S16" s="51">
        <v>17</v>
      </c>
      <c r="T16" s="52">
        <v>0</v>
      </c>
      <c r="U16" s="50">
        <v>3</v>
      </c>
      <c r="V16" s="51">
        <v>11</v>
      </c>
      <c r="W16" s="50">
        <f>SUM(Facilities_Masjids[[#This Row],[عدد صفوف الرجال]:[عدد صفوف النساء]])</f>
        <v>24</v>
      </c>
      <c r="X16" s="50">
        <v>7</v>
      </c>
      <c r="Y16" s="51">
        <v>17</v>
      </c>
      <c r="Z16" s="50">
        <f>SUM(Facilities_Masjids[[#This Row],[سعة المرفق من المصلين]:[سعة المرفق من المصليات]])</f>
        <v>375</v>
      </c>
      <c r="AA16" s="50">
        <v>350</v>
      </c>
      <c r="AB16" s="51">
        <v>25</v>
      </c>
      <c r="AC16" s="50">
        <f>SUM(Facilities_Masjids[[#This Row],[إجمالي عدد دورات مياه الرجال]],Facilities_Masjids[[#This Row],[إجمالي عدد دورات مياه النساء]])</f>
        <v>6</v>
      </c>
      <c r="AD16" s="50">
        <f>SUM(Facilities_Masjids[[#This Row],[عدد دورات مياه المعاقين من الرجال]],Facilities_Masjids[[#This Row],[عدد دورات مياه المعاقات من النساء]])</f>
        <v>0</v>
      </c>
      <c r="AE16" s="52">
        <v>4</v>
      </c>
      <c r="AF16" s="51">
        <v>0</v>
      </c>
      <c r="AG16" s="50">
        <v>2</v>
      </c>
      <c r="AH16" s="51">
        <v>0</v>
      </c>
      <c r="AI16" s="50">
        <f>SUM(Facilities_Masjids[[#This Row],[عدد مواضئ الرجال]:[عدد مواضئ النساء]])</f>
        <v>15</v>
      </c>
      <c r="AJ16" s="50">
        <v>12</v>
      </c>
      <c r="AK16" s="51">
        <v>3</v>
      </c>
      <c r="AL16" s="50">
        <f>SUM(Facilities_Masjids[[#This Row],[عدد مصاحف الرجال]:[عدد مصاحف النساء]])</f>
        <v>222</v>
      </c>
      <c r="AM16" s="50">
        <v>210</v>
      </c>
      <c r="AN16" s="51">
        <v>12</v>
      </c>
      <c r="AO16" s="50">
        <f>SUM(Facilities_Masjids[[#This Row],[عدد حاملات المصاحف للرجال]:[عدد حاملات المصاحف للنساء]])</f>
        <v>9</v>
      </c>
      <c r="AP16" s="50">
        <v>8</v>
      </c>
      <c r="AQ16" s="51">
        <v>1</v>
      </c>
      <c r="AR16" s="50">
        <f>SUM(Facilities_Masjids[[#This Row],[عدد دواليب المصاحف للرجال]:[عدد دواليب المصاحف للنساء]])</f>
        <v>9</v>
      </c>
      <c r="AS16" s="50">
        <v>7</v>
      </c>
      <c r="AT16" s="51">
        <v>2</v>
      </c>
      <c r="AU16" s="50">
        <f>SUM(Facilities_Masjids[[#This Row],[عدد الكراسي للرجال]:[عدد الكراسي للنساء]])</f>
        <v>8</v>
      </c>
      <c r="AV16" s="50">
        <v>7</v>
      </c>
      <c r="AW16" s="51">
        <v>1</v>
      </c>
      <c r="AX16" s="53" t="b">
        <v>0</v>
      </c>
      <c r="AY16" s="53" t="b">
        <v>0</v>
      </c>
      <c r="AZ16" s="53" t="b">
        <v>0</v>
      </c>
      <c r="BA16" s="57"/>
    </row>
    <row r="17" spans="2:53" x14ac:dyDescent="0.45">
      <c r="B17" s="57"/>
      <c r="C17" s="58">
        <f>ROW()-ROW(Facilities_Masjids[[#Headers],[م]])</f>
        <v>8</v>
      </c>
      <c r="D17" s="58" t="str">
        <f>_xlfn.XLOOKUP(Facilities_Masjids[[#This Row],[المدينة]],Saudi_Regions_Cities[المدينة],Saudi_Regions_Cities[المنطقة الإدارية],"")</f>
        <v>منطقة الباحة</v>
      </c>
      <c r="E17" s="58">
        <f>_xlfn.XLOOKUP(Facilities_Masjids[[#This Row],[المدينة]],Saudi_Regions_Cities[المدينة],Saudi_Regions_Cities[رمز المدينة],"")</f>
        <v>13002</v>
      </c>
      <c r="F17" s="43" t="s">
        <v>105</v>
      </c>
      <c r="G17" s="43" t="s">
        <v>106</v>
      </c>
      <c r="H17" s="44">
        <f>_xlfn.XLOOKUP(Facilities_Masjids[[#This Row],[تصنيف المرفق]],Facility_Classifications[تصنيف المرفق],Facility_Classifications[رمز تصنيف المرفق],"")</f>
        <v>2</v>
      </c>
      <c r="I17" s="43" t="s">
        <v>94</v>
      </c>
      <c r="J17" s="43">
        <f>VALUE(
Facilities_Masjids[[#This Row],[رمز تصنيف المرفق]]&amp;
TEXT(
IF(Facilities_Masjids[[#This Row],[المساحة الكلية للمرفق (م2)]]="",
COUNTA(Facilities_Masjids[المساحة الكلية للمرفق (م2)])+COUNTBLANK(INDEX(Facilities_Masjids[المساحة الكلية للمرفق (م2)],1):INDEX(Facilities_Masjids[المساحة الكلية للمرفق (م2)],ROW()-ROW(Facilities_Masjids[[#Headers],[رمز المرفق]]))),
IFERROR(
IF(COUNTIF(Facilities_Masjids[المساحة الكلية للمرفق (م2)],Facilities_Masjids[[#This Row],[المساحة الكلية للمرفق (م2)]])=1,
_xlfn.RANK.EQ(Facilities_Masjids[[#This Row],[المساحة الكلية للمرفق (م2)]],Facilities_Masjids[المساحة الكلية للمرفق (م2)]),
_xlfn.RANK.EQ(Facilities_Masjids[[#This Row],[المساحة الكلية للمرفق (م2)]],Facilities_Masjids[المساحة الكلية للمرفق (م2)])+
COUNTIF(INDEX(Facilities_Masjids[المساحة الكلية للمرفق (م2)],1):INDEX(Facilities_Masjids[المساحة الكلية للمرفق (م2)],ROW()-ROW(Facilities_Masjids[[#Headers],[رمز المرفق]])),Facilities_Masjids[[#This Row],[المساحة الكلية للمرفق (م2)]])-1),
0)),
"00"))</f>
        <v>212</v>
      </c>
      <c r="K17" s="45" t="s">
        <v>107</v>
      </c>
      <c r="L17" s="46" t="s">
        <v>108</v>
      </c>
      <c r="M17" s="187"/>
      <c r="N17" s="47" t="s">
        <v>109</v>
      </c>
      <c r="O17" s="48">
        <v>19.8641092202853</v>
      </c>
      <c r="P17" s="49">
        <v>41.567909079730399</v>
      </c>
      <c r="Q17" s="50">
        <v>425</v>
      </c>
      <c r="R17" s="50">
        <v>283</v>
      </c>
      <c r="S17" s="51">
        <v>111</v>
      </c>
      <c r="T17" s="52">
        <v>10</v>
      </c>
      <c r="U17" s="50">
        <v>2</v>
      </c>
      <c r="V17" s="51">
        <v>49</v>
      </c>
      <c r="W17" s="50">
        <f>SUM(Facilities_Masjids[[#This Row],[عدد صفوف الرجال]:[عدد صفوف النساء]])</f>
        <v>13</v>
      </c>
      <c r="X17" s="50">
        <v>9</v>
      </c>
      <c r="Y17" s="51">
        <v>4</v>
      </c>
      <c r="Z17" s="50">
        <f>SUM(Facilities_Masjids[[#This Row],[سعة المرفق من المصلين]:[سعة المرفق من المصليات]])</f>
        <v>450</v>
      </c>
      <c r="AA17" s="50">
        <v>310</v>
      </c>
      <c r="AB17" s="51">
        <v>140</v>
      </c>
      <c r="AC17" s="50">
        <f>SUM(Facilities_Masjids[[#This Row],[إجمالي عدد دورات مياه الرجال]],Facilities_Masjids[[#This Row],[إجمالي عدد دورات مياه النساء]])</f>
        <v>7</v>
      </c>
      <c r="AD17" s="50">
        <f>SUM(Facilities_Masjids[[#This Row],[عدد دورات مياه المعاقين من الرجال]],Facilities_Masjids[[#This Row],[عدد دورات مياه المعاقات من النساء]])</f>
        <v>0</v>
      </c>
      <c r="AE17" s="52">
        <v>5</v>
      </c>
      <c r="AF17" s="51">
        <v>0</v>
      </c>
      <c r="AG17" s="50">
        <v>2</v>
      </c>
      <c r="AH17" s="51">
        <v>0</v>
      </c>
      <c r="AI17" s="50">
        <f>SUM(Facilities_Masjids[[#This Row],[عدد مواضئ الرجال]:[عدد مواضئ النساء]])</f>
        <v>12</v>
      </c>
      <c r="AJ17" s="50">
        <v>9</v>
      </c>
      <c r="AK17" s="51">
        <v>3</v>
      </c>
      <c r="AL17" s="50">
        <f>SUM(Facilities_Masjids[[#This Row],[عدد مصاحف الرجال]:[عدد مصاحف النساء]])</f>
        <v>38</v>
      </c>
      <c r="AM17" s="50">
        <v>29</v>
      </c>
      <c r="AN17" s="51">
        <v>9</v>
      </c>
      <c r="AO17" s="50">
        <f>SUM(Facilities_Masjids[[#This Row],[عدد حاملات المصاحف للرجال]:[عدد حاملات المصاحف للنساء]])</f>
        <v>11</v>
      </c>
      <c r="AP17" s="50">
        <v>10</v>
      </c>
      <c r="AQ17" s="51">
        <v>1</v>
      </c>
      <c r="AR17" s="50">
        <f>SUM(Facilities_Masjids[[#This Row],[عدد دواليب المصاحف للرجال]:[عدد دواليب المصاحف للنساء]])</f>
        <v>5</v>
      </c>
      <c r="AS17" s="50">
        <v>2</v>
      </c>
      <c r="AT17" s="51">
        <v>3</v>
      </c>
      <c r="AU17" s="50">
        <f>SUM(Facilities_Masjids[[#This Row],[عدد الكراسي للرجال]:[عدد الكراسي للنساء]])</f>
        <v>1</v>
      </c>
      <c r="AV17" s="50">
        <v>1</v>
      </c>
      <c r="AW17" s="51">
        <v>0</v>
      </c>
      <c r="AX17" s="53" t="b">
        <v>1</v>
      </c>
      <c r="AY17" s="53" t="b">
        <v>0</v>
      </c>
      <c r="AZ17" s="53" t="b">
        <v>0</v>
      </c>
      <c r="BA17" s="57"/>
    </row>
    <row r="18" spans="2:53" x14ac:dyDescent="0.45">
      <c r="B18" s="57"/>
      <c r="C18" s="58">
        <f>ROW()-ROW(Facilities_Masjids[[#Headers],[م]])</f>
        <v>9</v>
      </c>
      <c r="D18" s="58" t="str">
        <f>_xlfn.XLOOKUP(Facilities_Masjids[[#This Row],[المدينة]],Saudi_Regions_Cities[المدينة],Saudi_Regions_Cities[المنطقة الإدارية],"")</f>
        <v>المنطقة الشرقية</v>
      </c>
      <c r="E18" s="58">
        <f>_xlfn.XLOOKUP(Facilities_Masjids[[#This Row],[المدينة]],Saudi_Regions_Cities[المدينة],Saudi_Regions_Cities[رمز المدينة],"")</f>
        <v>3001</v>
      </c>
      <c r="F18" s="43" t="s">
        <v>70</v>
      </c>
      <c r="G18" s="43" t="s">
        <v>110</v>
      </c>
      <c r="H18" s="44">
        <f>_xlfn.XLOOKUP(Facilities_Masjids[[#This Row],[تصنيف المرفق]],Facility_Classifications[تصنيف المرفق],Facility_Classifications[رمز تصنيف المرفق],"")</f>
        <v>1</v>
      </c>
      <c r="I18" s="43" t="s">
        <v>72</v>
      </c>
      <c r="J18" s="43">
        <f>VALUE(
Facilities_Masjids[[#This Row],[رمز تصنيف المرفق]]&amp;
TEXT(
IF(Facilities_Masjids[[#This Row],[المساحة الكلية للمرفق (م2)]]="",
COUNTA(Facilities_Masjids[المساحة الكلية للمرفق (م2)])+COUNTBLANK(INDEX(Facilities_Masjids[المساحة الكلية للمرفق (م2)],1):INDEX(Facilities_Masjids[المساحة الكلية للمرفق (م2)],ROW()-ROW(Facilities_Masjids[[#Headers],[رمز المرفق]]))),
IFERROR(
IF(COUNTIF(Facilities_Masjids[المساحة الكلية للمرفق (م2)],Facilities_Masjids[[#This Row],[المساحة الكلية للمرفق (م2)]])=1,
_xlfn.RANK.EQ(Facilities_Masjids[[#This Row],[المساحة الكلية للمرفق (م2)]],Facilities_Masjids[المساحة الكلية للمرفق (م2)]),
_xlfn.RANK.EQ(Facilities_Masjids[[#This Row],[المساحة الكلية للمرفق (م2)]],Facilities_Masjids[المساحة الكلية للمرفق (م2)])+
COUNTIF(INDEX(Facilities_Masjids[المساحة الكلية للمرفق (م2)],1):INDEX(Facilities_Masjids[المساحة الكلية للمرفق (م2)],ROW()-ROW(Facilities_Masjids[[#Headers],[رمز المرفق]])),Facilities_Masjids[[#This Row],[المساحة الكلية للمرفق (م2)]])-1),
0)),
"00"))</f>
        <v>109</v>
      </c>
      <c r="K18" s="45" t="s">
        <v>111</v>
      </c>
      <c r="L18" s="46" t="s">
        <v>112</v>
      </c>
      <c r="M18" s="187"/>
      <c r="N18" s="47" t="s">
        <v>113</v>
      </c>
      <c r="O18" s="48">
        <v>26.365661526695899</v>
      </c>
      <c r="P18" s="49">
        <v>50.008482143970099</v>
      </c>
      <c r="Q18" s="50">
        <v>1368</v>
      </c>
      <c r="R18" s="50">
        <v>352</v>
      </c>
      <c r="S18" s="51">
        <v>0</v>
      </c>
      <c r="T18" s="52">
        <v>13</v>
      </c>
      <c r="U18" s="50">
        <v>1</v>
      </c>
      <c r="V18" s="51">
        <v>12</v>
      </c>
      <c r="W18" s="50">
        <f>SUM(Facilities_Masjids[[#This Row],[عدد صفوف الرجال]:[عدد صفوف النساء]])</f>
        <v>24</v>
      </c>
      <c r="X18" s="50">
        <v>24</v>
      </c>
      <c r="Y18" s="51">
        <v>0</v>
      </c>
      <c r="Z18" s="50">
        <f>SUM(Facilities_Masjids[[#This Row],[سعة المرفق من المصلين]:[سعة المرفق من المصليات]])</f>
        <v>753</v>
      </c>
      <c r="AA18" s="50">
        <v>753</v>
      </c>
      <c r="AB18" s="51">
        <v>0</v>
      </c>
      <c r="AC18" s="50">
        <f>SUM(Facilities_Masjids[[#This Row],[إجمالي عدد دورات مياه الرجال]],Facilities_Masjids[[#This Row],[إجمالي عدد دورات مياه النساء]])</f>
        <v>3</v>
      </c>
      <c r="AD18" s="50">
        <f>SUM(Facilities_Masjids[[#This Row],[عدد دورات مياه المعاقين من الرجال]],Facilities_Masjids[[#This Row],[عدد دورات مياه المعاقات من النساء]])</f>
        <v>0</v>
      </c>
      <c r="AE18" s="52">
        <v>3</v>
      </c>
      <c r="AF18" s="51">
        <v>0</v>
      </c>
      <c r="AG18" s="50">
        <v>0</v>
      </c>
      <c r="AH18" s="51">
        <v>0</v>
      </c>
      <c r="AI18" s="50">
        <f>SUM(Facilities_Masjids[[#This Row],[عدد مواضئ الرجال]:[عدد مواضئ النساء]])</f>
        <v>12</v>
      </c>
      <c r="AJ18" s="50">
        <v>12</v>
      </c>
      <c r="AK18" s="51">
        <v>0</v>
      </c>
      <c r="AL18" s="50">
        <f>SUM(Facilities_Masjids[[#This Row],[عدد مصاحف الرجال]:[عدد مصاحف النساء]])</f>
        <v>470</v>
      </c>
      <c r="AM18" s="50">
        <v>470</v>
      </c>
      <c r="AN18" s="51">
        <v>0</v>
      </c>
      <c r="AO18" s="50">
        <f>SUM(Facilities_Masjids[[#This Row],[عدد حاملات المصاحف للرجال]:[عدد حاملات المصاحف للنساء]])</f>
        <v>8</v>
      </c>
      <c r="AP18" s="50">
        <v>8</v>
      </c>
      <c r="AQ18" s="51">
        <v>0</v>
      </c>
      <c r="AR18" s="50">
        <f>SUM(Facilities_Masjids[[#This Row],[عدد دواليب المصاحف للرجال]:[عدد دواليب المصاحف للنساء]])</f>
        <v>17</v>
      </c>
      <c r="AS18" s="50">
        <v>17</v>
      </c>
      <c r="AT18" s="51">
        <v>0</v>
      </c>
      <c r="AU18" s="50">
        <f>SUM(Facilities_Masjids[[#This Row],[عدد الكراسي للرجال]:[عدد الكراسي للنساء]])</f>
        <v>7</v>
      </c>
      <c r="AV18" s="50">
        <v>7</v>
      </c>
      <c r="AW18" s="51">
        <v>0</v>
      </c>
      <c r="AX18" s="53" t="b">
        <v>0</v>
      </c>
      <c r="AY18" s="53" t="b">
        <v>0</v>
      </c>
      <c r="AZ18" s="53" t="b">
        <v>0</v>
      </c>
      <c r="BA18" s="57"/>
    </row>
    <row r="19" spans="2:53" x14ac:dyDescent="0.45">
      <c r="B19" s="57"/>
      <c r="C19" s="58">
        <f>ROW()-ROW(Facilities_Masjids[[#Headers],[م]])</f>
        <v>10</v>
      </c>
      <c r="D19" s="58" t="str">
        <f>_xlfn.XLOOKUP(Facilities_Masjids[[#This Row],[المدينة]],Saudi_Regions_Cities[المدينة],Saudi_Regions_Cities[المنطقة الإدارية],"")</f>
        <v>المنطقة الشرقية</v>
      </c>
      <c r="E19" s="58">
        <f>_xlfn.XLOOKUP(Facilities_Masjids[[#This Row],[المدينة]],Saudi_Regions_Cities[المدينة],Saudi_Regions_Cities[رمز المدينة],"")</f>
        <v>3001</v>
      </c>
      <c r="F19" s="43" t="s">
        <v>70</v>
      </c>
      <c r="G19" s="43" t="s">
        <v>110</v>
      </c>
      <c r="H19" s="44">
        <f>_xlfn.XLOOKUP(Facilities_Masjids[[#This Row],[تصنيف المرفق]],Facility_Classifications[تصنيف المرفق],Facility_Classifications[رمز تصنيف المرفق],"")</f>
        <v>2</v>
      </c>
      <c r="I19" s="43" t="s">
        <v>94</v>
      </c>
      <c r="J19" s="43">
        <f>VALUE(
Facilities_Masjids[[#This Row],[رمز تصنيف المرفق]]&amp;
TEXT(
IF(Facilities_Masjids[[#This Row],[المساحة الكلية للمرفق (م2)]]="",
COUNTA(Facilities_Masjids[المساحة الكلية للمرفق (م2)])+COUNTBLANK(INDEX(Facilities_Masjids[المساحة الكلية للمرفق (م2)],1):INDEX(Facilities_Masjids[المساحة الكلية للمرفق (م2)],ROW()-ROW(Facilities_Masjids[[#Headers],[رمز المرفق]]))),
IFERROR(
IF(COUNTIF(Facilities_Masjids[المساحة الكلية للمرفق (م2)],Facilities_Masjids[[#This Row],[المساحة الكلية للمرفق (م2)]])=1,
_xlfn.RANK.EQ(Facilities_Masjids[[#This Row],[المساحة الكلية للمرفق (م2)]],Facilities_Masjids[المساحة الكلية للمرفق (م2)]),
_xlfn.RANK.EQ(Facilities_Masjids[[#This Row],[المساحة الكلية للمرفق (م2)]],Facilities_Masjids[المساحة الكلية للمرفق (م2)])+
COUNTIF(INDEX(Facilities_Masjids[المساحة الكلية للمرفق (م2)],1):INDEX(Facilities_Masjids[المساحة الكلية للمرفق (م2)],ROW()-ROW(Facilities_Masjids[[#Headers],[رمز المرفق]])),Facilities_Masjids[[#This Row],[المساحة الكلية للمرفق (م2)]])-1),
0)),
"00"))</f>
        <v>226</v>
      </c>
      <c r="K19" s="45" t="s">
        <v>114</v>
      </c>
      <c r="L19" s="46" t="s">
        <v>115</v>
      </c>
      <c r="M19" s="187"/>
      <c r="N19" s="47" t="s">
        <v>116</v>
      </c>
      <c r="O19" s="48">
        <v>26.366978</v>
      </c>
      <c r="P19" s="49">
        <v>50.010536999999999</v>
      </c>
      <c r="Q19" s="50">
        <v>57</v>
      </c>
      <c r="R19" s="50">
        <v>42</v>
      </c>
      <c r="S19" s="51">
        <v>0</v>
      </c>
      <c r="T19" s="52">
        <v>0</v>
      </c>
      <c r="U19" s="50">
        <v>1</v>
      </c>
      <c r="V19" s="51">
        <v>2</v>
      </c>
      <c r="W19" s="50">
        <f>SUM(Facilities_Masjids[[#This Row],[عدد صفوف الرجال]:[عدد صفوف النساء]])</f>
        <v>5</v>
      </c>
      <c r="X19" s="50">
        <v>5</v>
      </c>
      <c r="Y19" s="51">
        <v>0</v>
      </c>
      <c r="Z19" s="50">
        <f>SUM(Facilities_Masjids[[#This Row],[سعة المرفق من المصلين]:[سعة المرفق من المصليات]])</f>
        <v>70</v>
      </c>
      <c r="AA19" s="50">
        <v>70</v>
      </c>
      <c r="AB19" s="51">
        <v>0</v>
      </c>
      <c r="AC19" s="50">
        <f>SUM(Facilities_Masjids[[#This Row],[إجمالي عدد دورات مياه الرجال]],Facilities_Masjids[[#This Row],[إجمالي عدد دورات مياه النساء]])</f>
        <v>4</v>
      </c>
      <c r="AD19" s="50">
        <f>SUM(Facilities_Masjids[[#This Row],[عدد دورات مياه المعاقين من الرجال]],Facilities_Masjids[[#This Row],[عدد دورات مياه المعاقات من النساء]])</f>
        <v>0</v>
      </c>
      <c r="AE19" s="52">
        <v>4</v>
      </c>
      <c r="AF19" s="51">
        <v>0</v>
      </c>
      <c r="AG19" s="50">
        <v>0</v>
      </c>
      <c r="AH19" s="51">
        <v>0</v>
      </c>
      <c r="AI19" s="50">
        <f>SUM(Facilities_Masjids[[#This Row],[عدد مواضئ الرجال]:[عدد مواضئ النساء]])</f>
        <v>8</v>
      </c>
      <c r="AJ19" s="50">
        <v>8</v>
      </c>
      <c r="AK19" s="51">
        <v>0</v>
      </c>
      <c r="AL19" s="50">
        <f>SUM(Facilities_Masjids[[#This Row],[عدد مصاحف الرجال]:[عدد مصاحف النساء]])</f>
        <v>25</v>
      </c>
      <c r="AM19" s="50">
        <v>25</v>
      </c>
      <c r="AN19" s="51">
        <v>0</v>
      </c>
      <c r="AO19" s="50">
        <f>SUM(Facilities_Masjids[[#This Row],[عدد حاملات المصاحف للرجال]:[عدد حاملات المصاحف للنساء]])</f>
        <v>0</v>
      </c>
      <c r="AP19" s="50">
        <v>0</v>
      </c>
      <c r="AQ19" s="51">
        <v>0</v>
      </c>
      <c r="AR19" s="50">
        <f>SUM(Facilities_Masjids[[#This Row],[عدد دواليب المصاحف للرجال]:[عدد دواليب المصاحف للنساء]])</f>
        <v>2</v>
      </c>
      <c r="AS19" s="50">
        <v>2</v>
      </c>
      <c r="AT19" s="51">
        <v>0</v>
      </c>
      <c r="AU19" s="50">
        <f>SUM(Facilities_Masjids[[#This Row],[عدد الكراسي للرجال]:[عدد الكراسي للنساء]])</f>
        <v>0</v>
      </c>
      <c r="AV19" s="50">
        <v>0</v>
      </c>
      <c r="AW19" s="51">
        <v>0</v>
      </c>
      <c r="AX19" s="53" t="b">
        <v>0</v>
      </c>
      <c r="AY19" s="53" t="b">
        <v>0</v>
      </c>
      <c r="AZ19" s="53" t="b">
        <v>0</v>
      </c>
      <c r="BA19" s="57"/>
    </row>
    <row r="20" spans="2:53" x14ac:dyDescent="0.45">
      <c r="B20" s="57"/>
      <c r="C20" s="58">
        <f>ROW()-ROW(Facilities_Masjids[[#Headers],[م]])</f>
        <v>11</v>
      </c>
      <c r="D20" s="58" t="str">
        <f>_xlfn.XLOOKUP(Facilities_Masjids[[#This Row],[المدينة]],Saudi_Regions_Cities[المدينة],Saudi_Regions_Cities[المنطقة الإدارية],"")</f>
        <v>المنطقة الشرقية</v>
      </c>
      <c r="E20" s="58">
        <f>_xlfn.XLOOKUP(Facilities_Masjids[[#This Row],[المدينة]],Saudi_Regions_Cities[المدينة],Saudi_Regions_Cities[رمز المدينة],"")</f>
        <v>3005</v>
      </c>
      <c r="F20" s="43" t="s">
        <v>117</v>
      </c>
      <c r="G20" s="43" t="s">
        <v>118</v>
      </c>
      <c r="H20" s="44">
        <f>_xlfn.XLOOKUP(Facilities_Masjids[[#This Row],[تصنيف المرفق]],Facility_Classifications[تصنيف المرفق],Facility_Classifications[رمز تصنيف المرفق],"")</f>
        <v>1</v>
      </c>
      <c r="I20" s="43" t="s">
        <v>72</v>
      </c>
      <c r="J20" s="43">
        <f>VALUE(
Facilities_Masjids[[#This Row],[رمز تصنيف المرفق]]&amp;
TEXT(
IF(Facilities_Masjids[[#This Row],[المساحة الكلية للمرفق (م2)]]="",
COUNTA(Facilities_Masjids[المساحة الكلية للمرفق (م2)])+COUNTBLANK(INDEX(Facilities_Masjids[المساحة الكلية للمرفق (م2)],1):INDEX(Facilities_Masjids[المساحة الكلية للمرفق (م2)],ROW()-ROW(Facilities_Masjids[[#Headers],[رمز المرفق]]))),
IFERROR(
IF(COUNTIF(Facilities_Masjids[المساحة الكلية للمرفق (م2)],Facilities_Masjids[[#This Row],[المساحة الكلية للمرفق (م2)]])=1,
_xlfn.RANK.EQ(Facilities_Masjids[[#This Row],[المساحة الكلية للمرفق (م2)]],Facilities_Masjids[المساحة الكلية للمرفق (م2)]),
_xlfn.RANK.EQ(Facilities_Masjids[[#This Row],[المساحة الكلية للمرفق (م2)]],Facilities_Masjids[المساحة الكلية للمرفق (م2)])+
COUNTIF(INDEX(Facilities_Masjids[المساحة الكلية للمرفق (م2)],1):INDEX(Facilities_Masjids[المساحة الكلية للمرفق (م2)],ROW()-ROW(Facilities_Masjids[[#Headers],[رمز المرفق]])),Facilities_Masjids[[#This Row],[المساحة الكلية للمرفق (م2)]])-1),
0)),
"00"))</f>
        <v>117</v>
      </c>
      <c r="K20" s="45" t="s">
        <v>119</v>
      </c>
      <c r="L20" s="46" t="s">
        <v>120</v>
      </c>
      <c r="M20" s="187"/>
      <c r="N20" s="47" t="s">
        <v>121</v>
      </c>
      <c r="O20" s="48">
        <v>26.961933467671599</v>
      </c>
      <c r="P20" s="49">
        <v>49.627083299999903</v>
      </c>
      <c r="Q20" s="50">
        <v>222</v>
      </c>
      <c r="R20" s="50">
        <v>222</v>
      </c>
      <c r="S20" s="51">
        <v>0</v>
      </c>
      <c r="T20" s="52">
        <v>0</v>
      </c>
      <c r="U20" s="50">
        <v>2</v>
      </c>
      <c r="V20" s="51">
        <v>8</v>
      </c>
      <c r="W20" s="50">
        <f>SUM(Facilities_Masjids[[#This Row],[عدد صفوف الرجال]:[عدد صفوف النساء]])</f>
        <v>10</v>
      </c>
      <c r="X20" s="50">
        <v>10</v>
      </c>
      <c r="Y20" s="51">
        <v>0</v>
      </c>
      <c r="Z20" s="50">
        <f>SUM(Facilities_Masjids[[#This Row],[سعة المرفق من المصلين]:[سعة المرفق من المصليات]])</f>
        <v>296</v>
      </c>
      <c r="AA20" s="50">
        <v>296</v>
      </c>
      <c r="AB20" s="51">
        <v>0</v>
      </c>
      <c r="AC20" s="50">
        <f>SUM(Facilities_Masjids[[#This Row],[إجمالي عدد دورات مياه الرجال]],Facilities_Masjids[[#This Row],[إجمالي عدد دورات مياه النساء]])</f>
        <v>10</v>
      </c>
      <c r="AD20" s="50">
        <f>SUM(Facilities_Masjids[[#This Row],[عدد دورات مياه المعاقين من الرجال]],Facilities_Masjids[[#This Row],[عدد دورات مياه المعاقات من النساء]])</f>
        <v>0</v>
      </c>
      <c r="AE20" s="52">
        <v>10</v>
      </c>
      <c r="AF20" s="51">
        <v>0</v>
      </c>
      <c r="AG20" s="50">
        <v>0</v>
      </c>
      <c r="AH20" s="51">
        <v>0</v>
      </c>
      <c r="AI20" s="50">
        <f>SUM(Facilities_Masjids[[#This Row],[عدد مواضئ الرجال]:[عدد مواضئ النساء]])</f>
        <v>10</v>
      </c>
      <c r="AJ20" s="50">
        <v>10</v>
      </c>
      <c r="AK20" s="51">
        <v>0</v>
      </c>
      <c r="AL20" s="50">
        <f>SUM(Facilities_Masjids[[#This Row],[عدد مصاحف الرجال]:[عدد مصاحف النساء]])</f>
        <v>125</v>
      </c>
      <c r="AM20" s="50">
        <v>125</v>
      </c>
      <c r="AN20" s="51">
        <v>0</v>
      </c>
      <c r="AO20" s="50">
        <f>SUM(Facilities_Masjids[[#This Row],[عدد حاملات المصاحف للرجال]:[عدد حاملات المصاحف للنساء]])</f>
        <v>10</v>
      </c>
      <c r="AP20" s="50">
        <v>10</v>
      </c>
      <c r="AQ20" s="51">
        <v>0</v>
      </c>
      <c r="AR20" s="50">
        <f>SUM(Facilities_Masjids[[#This Row],[عدد دواليب المصاحف للرجال]:[عدد دواليب المصاحف للنساء]])</f>
        <v>8</v>
      </c>
      <c r="AS20" s="50">
        <v>8</v>
      </c>
      <c r="AT20" s="51">
        <v>0</v>
      </c>
      <c r="AU20" s="50">
        <f>SUM(Facilities_Masjids[[#This Row],[عدد الكراسي للرجال]:[عدد الكراسي للنساء]])</f>
        <v>7</v>
      </c>
      <c r="AV20" s="50">
        <v>7</v>
      </c>
      <c r="AW20" s="51">
        <v>0</v>
      </c>
      <c r="AX20" s="53" t="b">
        <v>0</v>
      </c>
      <c r="AY20" s="53" t="b">
        <v>0</v>
      </c>
      <c r="AZ20" s="53" t="b">
        <v>0</v>
      </c>
      <c r="BA20" s="57"/>
    </row>
    <row r="21" spans="2:53" x14ac:dyDescent="0.45">
      <c r="B21" s="57"/>
      <c r="C21" s="58">
        <f>ROW()-ROW(Facilities_Masjids[[#Headers],[م]])</f>
        <v>12</v>
      </c>
      <c r="D21" s="58" t="str">
        <f>_xlfn.XLOOKUP(Facilities_Masjids[[#This Row],[المدينة]],Saudi_Regions_Cities[المدينة],Saudi_Regions_Cities[المنطقة الإدارية],"")</f>
        <v>منطقة مكة المكرمة</v>
      </c>
      <c r="E21" s="58">
        <f>_xlfn.XLOOKUP(Facilities_Masjids[[#This Row],[المدينة]],Saudi_Regions_Cities[المدينة],Saudi_Regions_Cities[رمز المدينة],"")</f>
        <v>2001</v>
      </c>
      <c r="F21" s="43" t="s">
        <v>122</v>
      </c>
      <c r="G21" s="43" t="s">
        <v>123</v>
      </c>
      <c r="H21" s="44">
        <f>_xlfn.XLOOKUP(Facilities_Masjids[[#This Row],[تصنيف المرفق]],Facility_Classifications[تصنيف المرفق],Facility_Classifications[رمز تصنيف المرفق],"")</f>
        <v>1</v>
      </c>
      <c r="I21" s="43" t="s">
        <v>72</v>
      </c>
      <c r="J21" s="43">
        <f>VALUE(
Facilities_Masjids[[#This Row],[رمز تصنيف المرفق]]&amp;
TEXT(
IF(Facilities_Masjids[[#This Row],[المساحة الكلية للمرفق (م2)]]="",
COUNTA(Facilities_Masjids[المساحة الكلية للمرفق (م2)])+COUNTBLANK(INDEX(Facilities_Masjids[المساحة الكلية للمرفق (م2)],1):INDEX(Facilities_Masjids[المساحة الكلية للمرفق (م2)],ROW()-ROW(Facilities_Masjids[[#Headers],[رمز المرفق]]))),
IFERROR(
IF(COUNTIF(Facilities_Masjids[المساحة الكلية للمرفق (م2)],Facilities_Masjids[[#This Row],[المساحة الكلية للمرفق (م2)]])=1,
_xlfn.RANK.EQ(Facilities_Masjids[[#This Row],[المساحة الكلية للمرفق (م2)]],Facilities_Masjids[المساحة الكلية للمرفق (م2)]),
_xlfn.RANK.EQ(Facilities_Masjids[[#This Row],[المساحة الكلية للمرفق (م2)]],Facilities_Masjids[المساحة الكلية للمرفق (م2)])+
COUNTIF(INDEX(Facilities_Masjids[المساحة الكلية للمرفق (م2)],1):INDEX(Facilities_Masjids[المساحة الكلية للمرفق (م2)],ROW()-ROW(Facilities_Masjids[[#Headers],[رمز المرفق]])),Facilities_Masjids[[#This Row],[المساحة الكلية للمرفق (م2)]])-1),
0)),
"00"))</f>
        <v>103</v>
      </c>
      <c r="K21" s="45" t="s">
        <v>124</v>
      </c>
      <c r="L21" s="46" t="s">
        <v>125</v>
      </c>
      <c r="M21" s="187"/>
      <c r="N21" s="47" t="s">
        <v>126</v>
      </c>
      <c r="O21" s="48">
        <v>21.305743229231599</v>
      </c>
      <c r="P21" s="49">
        <v>39.143938157671698</v>
      </c>
      <c r="Q21" s="61">
        <v>6084</v>
      </c>
      <c r="R21" s="50">
        <v>4225</v>
      </c>
      <c r="S21" s="51">
        <v>0</v>
      </c>
      <c r="T21" s="52">
        <v>0</v>
      </c>
      <c r="U21" s="50">
        <v>1</v>
      </c>
      <c r="V21" s="51">
        <v>24</v>
      </c>
      <c r="W21" s="50">
        <f>SUM(Facilities_Masjids[[#This Row],[عدد صفوف الرجال]:[عدد صفوف النساء]])</f>
        <v>14</v>
      </c>
      <c r="X21" s="50">
        <v>14</v>
      </c>
      <c r="Y21" s="51">
        <v>0</v>
      </c>
      <c r="Z21" s="50">
        <f>SUM(Facilities_Masjids[[#This Row],[سعة المرفق من المصلين]:[سعة المرفق من المصليات]])</f>
        <v>450</v>
      </c>
      <c r="AA21" s="50">
        <v>450</v>
      </c>
      <c r="AB21" s="51">
        <v>0</v>
      </c>
      <c r="AC21" s="50">
        <f>SUM(Facilities_Masjids[[#This Row],[إجمالي عدد دورات مياه الرجال]],Facilities_Masjids[[#This Row],[إجمالي عدد دورات مياه النساء]])</f>
        <v>7</v>
      </c>
      <c r="AD21" s="50">
        <f>SUM(Facilities_Masjids[[#This Row],[عدد دورات مياه المعاقين من الرجال]],Facilities_Masjids[[#This Row],[عدد دورات مياه المعاقات من النساء]])</f>
        <v>0</v>
      </c>
      <c r="AE21" s="52">
        <v>7</v>
      </c>
      <c r="AF21" s="51">
        <v>0</v>
      </c>
      <c r="AG21" s="50">
        <v>0</v>
      </c>
      <c r="AH21" s="51">
        <v>0</v>
      </c>
      <c r="AI21" s="50">
        <f>SUM(Facilities_Masjids[[#This Row],[عدد مواضئ الرجال]:[عدد مواضئ النساء]])</f>
        <v>13</v>
      </c>
      <c r="AJ21" s="50">
        <v>13</v>
      </c>
      <c r="AK21" s="51">
        <v>0</v>
      </c>
      <c r="AL21" s="50">
        <f>SUM(Facilities_Masjids[[#This Row],[عدد مصاحف الرجال]:[عدد مصاحف النساء]])</f>
        <v>116</v>
      </c>
      <c r="AM21" s="50">
        <v>116</v>
      </c>
      <c r="AN21" s="51">
        <v>0</v>
      </c>
      <c r="AO21" s="50">
        <f>SUM(Facilities_Masjids[[#This Row],[عدد حاملات المصاحف للرجال]:[عدد حاملات المصاحف للنساء]])</f>
        <v>0</v>
      </c>
      <c r="AP21" s="50">
        <v>0</v>
      </c>
      <c r="AQ21" s="51">
        <v>0</v>
      </c>
      <c r="AR21" s="50">
        <f>SUM(Facilities_Masjids[[#This Row],[عدد دواليب المصاحف للرجال]:[عدد دواليب المصاحف للنساء]])</f>
        <v>6</v>
      </c>
      <c r="AS21" s="50">
        <v>6</v>
      </c>
      <c r="AT21" s="51">
        <v>0</v>
      </c>
      <c r="AU21" s="50">
        <f>SUM(Facilities_Masjids[[#This Row],[عدد الكراسي للرجال]:[عدد الكراسي للنساء]])</f>
        <v>0</v>
      </c>
      <c r="AV21" s="50">
        <v>0</v>
      </c>
      <c r="AW21" s="51">
        <v>0</v>
      </c>
      <c r="AX21" s="53" t="b">
        <v>0</v>
      </c>
      <c r="AY21" s="53" t="b">
        <v>0</v>
      </c>
      <c r="AZ21" s="53" t="b">
        <v>0</v>
      </c>
      <c r="BA21" s="57"/>
    </row>
    <row r="22" spans="2:53" x14ac:dyDescent="0.45">
      <c r="B22" s="57"/>
      <c r="C22" s="58">
        <f>ROW()-ROW(Facilities_Masjids[[#Headers],[م]])</f>
        <v>13</v>
      </c>
      <c r="D22" s="58" t="str">
        <f>_xlfn.XLOOKUP(Facilities_Masjids[[#This Row],[المدينة]],Saudi_Regions_Cities[المدينة],Saudi_Regions_Cities[المنطقة الإدارية],"")</f>
        <v>المنطقة الشرقية</v>
      </c>
      <c r="E22" s="58">
        <f>_xlfn.XLOOKUP(Facilities_Masjids[[#This Row],[المدينة]],Saudi_Regions_Cities[المدينة],Saudi_Regions_Cities[رمز المدينة],"")</f>
        <v>3001</v>
      </c>
      <c r="F22" s="43" t="s">
        <v>70</v>
      </c>
      <c r="G22" s="43" t="s">
        <v>77</v>
      </c>
      <c r="H22" s="44">
        <f>_xlfn.XLOOKUP(Facilities_Masjids[[#This Row],[تصنيف المرفق]],Facility_Classifications[تصنيف المرفق],Facility_Classifications[رمز تصنيف المرفق],"")</f>
        <v>5</v>
      </c>
      <c r="I22" s="43" t="s">
        <v>127</v>
      </c>
      <c r="J22" s="43">
        <f>VALUE(
Facilities_Masjids[[#This Row],[رمز تصنيف المرفق]]&amp;
TEXT(
IF(Facilities_Masjids[[#This Row],[المساحة الكلية للمرفق (م2)]]="",
COUNTA(Facilities_Masjids[المساحة الكلية للمرفق (م2)])+COUNTBLANK(INDEX(Facilities_Masjids[المساحة الكلية للمرفق (م2)],1):INDEX(Facilities_Masjids[المساحة الكلية للمرفق (م2)],ROW()-ROW(Facilities_Masjids[[#Headers],[رمز المرفق]]))),
IFERROR(
IF(COUNTIF(Facilities_Masjids[المساحة الكلية للمرفق (م2)],Facilities_Masjids[[#This Row],[المساحة الكلية للمرفق (م2)]])=1,
_xlfn.RANK.EQ(Facilities_Masjids[[#This Row],[المساحة الكلية للمرفق (م2)]],Facilities_Masjids[المساحة الكلية للمرفق (م2)]),
_xlfn.RANK.EQ(Facilities_Masjids[[#This Row],[المساحة الكلية للمرفق (م2)]],Facilities_Masjids[المساحة الكلية للمرفق (م2)])+
COUNTIF(INDEX(Facilities_Masjids[المساحة الكلية للمرفق (م2)],1):INDEX(Facilities_Masjids[المساحة الكلية للمرفق (م2)],ROW()-ROW(Facilities_Masjids[[#Headers],[رمز المرفق]])),Facilities_Masjids[[#This Row],[المساحة الكلية للمرفق (م2)]])-1),
0)),
"00"))</f>
        <v>530</v>
      </c>
      <c r="K22" s="45" t="s">
        <v>128</v>
      </c>
      <c r="L22" s="46" t="s">
        <v>129</v>
      </c>
      <c r="M22" s="187"/>
      <c r="N22" s="47" t="s">
        <v>130</v>
      </c>
      <c r="O22" s="48">
        <v>26.401066774950401</v>
      </c>
      <c r="P22" s="49">
        <v>50.052861611679901</v>
      </c>
      <c r="Q22" s="50"/>
      <c r="R22" s="50"/>
      <c r="S22" s="51">
        <v>0</v>
      </c>
      <c r="T22" s="52">
        <v>0</v>
      </c>
      <c r="U22" s="50">
        <v>0</v>
      </c>
      <c r="V22" s="51">
        <v>0</v>
      </c>
      <c r="W22" s="50">
        <f>SUM(Facilities_Masjids[[#This Row],[عدد صفوف الرجال]:[عدد صفوف النساء]])</f>
        <v>0</v>
      </c>
      <c r="X22" s="50">
        <v>0</v>
      </c>
      <c r="Y22" s="51">
        <v>0</v>
      </c>
      <c r="Z22" s="50">
        <f>SUM(Facilities_Masjids[[#This Row],[سعة المرفق من المصلين]:[سعة المرفق من المصليات]])</f>
        <v>0</v>
      </c>
      <c r="AA22" s="50">
        <v>0</v>
      </c>
      <c r="AB22" s="51">
        <v>0</v>
      </c>
      <c r="AC22" s="50">
        <f>SUM(Facilities_Masjids[[#This Row],[إجمالي عدد دورات مياه الرجال]],Facilities_Masjids[[#This Row],[إجمالي عدد دورات مياه النساء]])</f>
        <v>0</v>
      </c>
      <c r="AD22" s="50">
        <f>SUM(Facilities_Masjids[[#This Row],[عدد دورات مياه المعاقين من الرجال]],Facilities_Masjids[[#This Row],[عدد دورات مياه المعاقات من النساء]])</f>
        <v>0</v>
      </c>
      <c r="AE22" s="52">
        <v>0</v>
      </c>
      <c r="AF22" s="51">
        <v>0</v>
      </c>
      <c r="AG22" s="50">
        <v>0</v>
      </c>
      <c r="AH22" s="51">
        <v>0</v>
      </c>
      <c r="AI22" s="50">
        <f>SUM(Facilities_Masjids[[#This Row],[عدد مواضئ الرجال]:[عدد مواضئ النساء]])</f>
        <v>0</v>
      </c>
      <c r="AJ22" s="50">
        <v>0</v>
      </c>
      <c r="AK22" s="51">
        <v>0</v>
      </c>
      <c r="AL22" s="50">
        <f>SUM(Facilities_Masjids[[#This Row],[عدد مصاحف الرجال]:[عدد مصاحف النساء]])</f>
        <v>0</v>
      </c>
      <c r="AM22" s="50">
        <v>0</v>
      </c>
      <c r="AN22" s="51">
        <v>0</v>
      </c>
      <c r="AO22" s="50">
        <f>SUM(Facilities_Masjids[[#This Row],[عدد حاملات المصاحف للرجال]:[عدد حاملات المصاحف للنساء]])</f>
        <v>0</v>
      </c>
      <c r="AP22" s="50">
        <v>0</v>
      </c>
      <c r="AQ22" s="51">
        <v>0</v>
      </c>
      <c r="AR22" s="50">
        <f>SUM(Facilities_Masjids[[#This Row],[عدد دواليب المصاحف للرجال]:[عدد دواليب المصاحف للنساء]])</f>
        <v>0</v>
      </c>
      <c r="AS22" s="50">
        <v>0</v>
      </c>
      <c r="AT22" s="51">
        <v>0</v>
      </c>
      <c r="AU22" s="50">
        <f>SUM(Facilities_Masjids[[#This Row],[عدد الكراسي للرجال]:[عدد الكراسي للنساء]])</f>
        <v>0</v>
      </c>
      <c r="AV22" s="50">
        <v>0</v>
      </c>
      <c r="AW22" s="51">
        <v>0</v>
      </c>
      <c r="AX22" s="53" t="b">
        <v>0</v>
      </c>
      <c r="AY22" s="53" t="b">
        <v>0</v>
      </c>
      <c r="AZ22" s="53" t="b">
        <v>0</v>
      </c>
      <c r="BA22" s="57"/>
    </row>
    <row r="23" spans="2:53" x14ac:dyDescent="0.45">
      <c r="B23" s="57"/>
      <c r="C23" s="58">
        <f>ROW()-ROW(Facilities_Masjids[[#Headers],[م]])</f>
        <v>14</v>
      </c>
      <c r="D23" s="58" t="str">
        <f>_xlfn.XLOOKUP(Facilities_Masjids[[#This Row],[المدينة]],Saudi_Regions_Cities[المدينة],Saudi_Regions_Cities[المنطقة الإدارية],"")</f>
        <v>منطقة المدينة المنورة</v>
      </c>
      <c r="E23" s="58">
        <f>_xlfn.XLOOKUP(Facilities_Masjids[[#This Row],[المدينة]],Saudi_Regions_Cities[المدينة],Saudi_Regions_Cities[رمز المدينة],"")</f>
        <v>4002</v>
      </c>
      <c r="F23" s="43" t="s">
        <v>131</v>
      </c>
      <c r="G23" s="43" t="s">
        <v>132</v>
      </c>
      <c r="H23" s="44">
        <f>_xlfn.XLOOKUP(Facilities_Masjids[[#This Row],[تصنيف المرفق]],Facility_Classifications[تصنيف المرفق],Facility_Classifications[رمز تصنيف المرفق],"")</f>
        <v>3</v>
      </c>
      <c r="I23" s="43" t="s">
        <v>133</v>
      </c>
      <c r="J23" s="43">
        <f>VALUE(
Facilities_Masjids[[#This Row],[رمز تصنيف المرفق]]&amp;
TEXT(
IF(Facilities_Masjids[[#This Row],[المساحة الكلية للمرفق (م2)]]="",
COUNTA(Facilities_Masjids[المساحة الكلية للمرفق (م2)])+COUNTBLANK(INDEX(Facilities_Masjids[المساحة الكلية للمرفق (م2)],1):INDEX(Facilities_Masjids[المساحة الكلية للمرفق (م2)],ROW()-ROW(Facilities_Masjids[[#Headers],[رمز المرفق]]))),
IFERROR(
IF(COUNTIF(Facilities_Masjids[المساحة الكلية للمرفق (م2)],Facilities_Masjids[[#This Row],[المساحة الكلية للمرفق (م2)]])=1,
_xlfn.RANK.EQ(Facilities_Masjids[[#This Row],[المساحة الكلية للمرفق (م2)]],Facilities_Masjids[المساحة الكلية للمرفق (م2)]),
_xlfn.RANK.EQ(Facilities_Masjids[[#This Row],[المساحة الكلية للمرفق (م2)]],Facilities_Masjids[المساحة الكلية للمرفق (م2)])+
COUNTIF(INDEX(Facilities_Masjids[المساحة الكلية للمرفق (م2)],1):INDEX(Facilities_Masjids[المساحة الكلية للمرفق (م2)],ROW()-ROW(Facilities_Masjids[[#Headers],[رمز المرفق]])),Facilities_Masjids[[#This Row],[المساحة الكلية للمرفق (م2)]])-1),
0)),
"00"))</f>
        <v>321</v>
      </c>
      <c r="K23" s="45" t="s">
        <v>134</v>
      </c>
      <c r="L23" s="46" t="s">
        <v>135</v>
      </c>
      <c r="M23" s="187"/>
      <c r="N23" s="59" t="s">
        <v>136</v>
      </c>
      <c r="O23" s="48">
        <v>23.9982489298296</v>
      </c>
      <c r="P23" s="49">
        <v>38.287618124847</v>
      </c>
      <c r="Q23" s="50">
        <v>170</v>
      </c>
      <c r="R23" s="50">
        <v>96</v>
      </c>
      <c r="S23" s="51">
        <v>0</v>
      </c>
      <c r="T23" s="52">
        <v>5</v>
      </c>
      <c r="U23" s="50">
        <v>1</v>
      </c>
      <c r="V23" s="51">
        <v>3</v>
      </c>
      <c r="W23" s="50">
        <f>SUM(Facilities_Masjids[[#This Row],[عدد صفوف الرجال]:[عدد صفوف النساء]])</f>
        <v>6</v>
      </c>
      <c r="X23" s="50">
        <v>6</v>
      </c>
      <c r="Y23" s="51">
        <v>0</v>
      </c>
      <c r="Z23" s="50">
        <f>SUM(Facilities_Masjids[[#This Row],[سعة المرفق من المصلين]:[سعة المرفق من المصليات]])</f>
        <v>200</v>
      </c>
      <c r="AA23" s="50">
        <v>200</v>
      </c>
      <c r="AB23" s="51">
        <v>0</v>
      </c>
      <c r="AC23" s="50">
        <f>SUM(Facilities_Masjids[[#This Row],[إجمالي عدد دورات مياه الرجال]],Facilities_Masjids[[#This Row],[إجمالي عدد دورات مياه النساء]])</f>
        <v>5</v>
      </c>
      <c r="AD23" s="50">
        <f>SUM(Facilities_Masjids[[#This Row],[عدد دورات مياه المعاقين من الرجال]],Facilities_Masjids[[#This Row],[عدد دورات مياه المعاقات من النساء]])</f>
        <v>0</v>
      </c>
      <c r="AE23" s="52">
        <v>5</v>
      </c>
      <c r="AF23" s="51">
        <v>0</v>
      </c>
      <c r="AG23" s="50">
        <v>0</v>
      </c>
      <c r="AH23" s="51">
        <v>0</v>
      </c>
      <c r="AI23" s="50">
        <f>SUM(Facilities_Masjids[[#This Row],[عدد مواضئ الرجال]:[عدد مواضئ النساء]])</f>
        <v>0</v>
      </c>
      <c r="AJ23" s="50">
        <v>0</v>
      </c>
      <c r="AK23" s="51">
        <v>0</v>
      </c>
      <c r="AL23" s="50">
        <f>SUM(Facilities_Masjids[[#This Row],[عدد مصاحف الرجال]:[عدد مصاحف النساء]])</f>
        <v>35</v>
      </c>
      <c r="AM23" s="50">
        <v>35</v>
      </c>
      <c r="AN23" s="51">
        <v>0</v>
      </c>
      <c r="AO23" s="50">
        <f>SUM(Facilities_Masjids[[#This Row],[عدد حاملات المصاحف للرجال]:[عدد حاملات المصاحف للنساء]])</f>
        <v>1</v>
      </c>
      <c r="AP23" s="50">
        <v>1</v>
      </c>
      <c r="AQ23" s="51">
        <v>0</v>
      </c>
      <c r="AR23" s="50">
        <f>SUM(Facilities_Masjids[[#This Row],[عدد دواليب المصاحف للرجال]:[عدد دواليب المصاحف للنساء]])</f>
        <v>2</v>
      </c>
      <c r="AS23" s="50">
        <v>2</v>
      </c>
      <c r="AT23" s="51">
        <v>0</v>
      </c>
      <c r="AU23" s="50">
        <f>SUM(Facilities_Masjids[[#This Row],[عدد الكراسي للرجال]:[عدد الكراسي للنساء]])</f>
        <v>0</v>
      </c>
      <c r="AV23" s="50">
        <v>0</v>
      </c>
      <c r="AW23" s="51">
        <v>0</v>
      </c>
      <c r="AX23" s="53" t="b">
        <v>0</v>
      </c>
      <c r="AY23" s="53" t="b">
        <v>0</v>
      </c>
      <c r="AZ23" s="53" t="b">
        <v>0</v>
      </c>
      <c r="BA23" s="57"/>
    </row>
    <row r="24" spans="2:53" x14ac:dyDescent="0.45">
      <c r="B24" s="57"/>
      <c r="C24" s="58">
        <f>ROW()-ROW(Facilities_Masjids[[#Headers],[م]])</f>
        <v>15</v>
      </c>
      <c r="D24" s="58" t="str">
        <f>_xlfn.XLOOKUP(Facilities_Masjids[[#This Row],[المدينة]],Saudi_Regions_Cities[المدينة],Saudi_Regions_Cities[المنطقة الإدارية],"")</f>
        <v>المنطقة الشرقية</v>
      </c>
      <c r="E24" s="58">
        <f>_xlfn.XLOOKUP(Facilities_Masjids[[#This Row],[المدينة]],Saudi_Regions_Cities[المدينة],Saudi_Regions_Cities[رمز المدينة],"")</f>
        <v>3001</v>
      </c>
      <c r="F24" s="43" t="s">
        <v>70</v>
      </c>
      <c r="G24" s="43" t="s">
        <v>137</v>
      </c>
      <c r="H24" s="44">
        <f>_xlfn.XLOOKUP(Facilities_Masjids[[#This Row],[تصنيف المرفق]],Facility_Classifications[تصنيف المرفق],Facility_Classifications[رمز تصنيف المرفق],"")</f>
        <v>2</v>
      </c>
      <c r="I24" s="43" t="s">
        <v>94</v>
      </c>
      <c r="J24" s="43">
        <f>VALUE(
Facilities_Masjids[[#This Row],[رمز تصنيف المرفق]]&amp;
TEXT(
IF(Facilities_Masjids[[#This Row],[المساحة الكلية للمرفق (م2)]]="",
COUNTA(Facilities_Masjids[المساحة الكلية للمرفق (م2)])+COUNTBLANK(INDEX(Facilities_Masjids[المساحة الكلية للمرفق (م2)],1):INDEX(Facilities_Masjids[المساحة الكلية للمرفق (م2)],ROW()-ROW(Facilities_Masjids[[#Headers],[رمز المرفق]]))),
IFERROR(
IF(COUNTIF(Facilities_Masjids[المساحة الكلية للمرفق (م2)],Facilities_Masjids[[#This Row],[المساحة الكلية للمرفق (م2)]])=1,
_xlfn.RANK.EQ(Facilities_Masjids[[#This Row],[المساحة الكلية للمرفق (م2)]],Facilities_Masjids[المساحة الكلية للمرفق (م2)]),
_xlfn.RANK.EQ(Facilities_Masjids[[#This Row],[المساحة الكلية للمرفق (م2)]],Facilities_Masjids[المساحة الكلية للمرفق (م2)])+
COUNTIF(INDEX(Facilities_Masjids[المساحة الكلية للمرفق (م2)],1):INDEX(Facilities_Masjids[المساحة الكلية للمرفق (م2)],ROW()-ROW(Facilities_Masjids[[#Headers],[رمز المرفق]])),Facilities_Masjids[[#This Row],[المساحة الكلية للمرفق (م2)]])-1),
0)),
"00"))</f>
        <v>223</v>
      </c>
      <c r="K24" s="45" t="s">
        <v>138</v>
      </c>
      <c r="L24" s="46" t="s">
        <v>139</v>
      </c>
      <c r="M24" s="187"/>
      <c r="N24" s="59" t="s">
        <v>140</v>
      </c>
      <c r="O24" s="48">
        <v>26.415220766119901</v>
      </c>
      <c r="P24" s="49">
        <v>50.0760048035783</v>
      </c>
      <c r="Q24" s="50">
        <v>150</v>
      </c>
      <c r="R24" s="50">
        <v>219</v>
      </c>
      <c r="S24" s="51">
        <v>0</v>
      </c>
      <c r="T24" s="52">
        <v>0</v>
      </c>
      <c r="U24" s="50">
        <v>3</v>
      </c>
      <c r="V24" s="51">
        <v>4</v>
      </c>
      <c r="W24" s="50">
        <f>SUM(Facilities_Masjids[[#This Row],[عدد صفوف الرجال]:[عدد صفوف النساء]])</f>
        <v>12</v>
      </c>
      <c r="X24" s="50">
        <v>12</v>
      </c>
      <c r="Y24" s="51">
        <v>0</v>
      </c>
      <c r="Z24" s="50">
        <f>SUM(Facilities_Masjids[[#This Row],[سعة المرفق من المصلين]:[سعة المرفق من المصليات]])</f>
        <v>264</v>
      </c>
      <c r="AA24" s="50">
        <v>264</v>
      </c>
      <c r="AB24" s="51">
        <v>0</v>
      </c>
      <c r="AC24" s="50">
        <f>SUM(Facilities_Masjids[[#This Row],[إجمالي عدد دورات مياه الرجال]],Facilities_Masjids[[#This Row],[إجمالي عدد دورات مياه النساء]])</f>
        <v>3</v>
      </c>
      <c r="AD24" s="50">
        <f>SUM(Facilities_Masjids[[#This Row],[عدد دورات مياه المعاقين من الرجال]],Facilities_Masjids[[#This Row],[عدد دورات مياه المعاقات من النساء]])</f>
        <v>0</v>
      </c>
      <c r="AE24" s="52">
        <v>3</v>
      </c>
      <c r="AF24" s="51">
        <v>0</v>
      </c>
      <c r="AG24" s="50">
        <v>0</v>
      </c>
      <c r="AH24" s="51">
        <v>0</v>
      </c>
      <c r="AI24" s="50">
        <f>SUM(Facilities_Masjids[[#This Row],[عدد مواضئ الرجال]:[عدد مواضئ النساء]])</f>
        <v>0</v>
      </c>
      <c r="AJ24" s="50">
        <v>0</v>
      </c>
      <c r="AK24" s="51">
        <v>0</v>
      </c>
      <c r="AL24" s="50">
        <f>SUM(Facilities_Masjids[[#This Row],[عدد مصاحف الرجال]:[عدد مصاحف النساء]])</f>
        <v>100</v>
      </c>
      <c r="AM24" s="50">
        <v>100</v>
      </c>
      <c r="AN24" s="51">
        <v>0</v>
      </c>
      <c r="AO24" s="50">
        <f>SUM(Facilities_Masjids[[#This Row],[عدد حاملات المصاحف للرجال]:[عدد حاملات المصاحف للنساء]])</f>
        <v>0</v>
      </c>
      <c r="AP24" s="50">
        <v>0</v>
      </c>
      <c r="AQ24" s="51">
        <v>0</v>
      </c>
      <c r="AR24" s="50">
        <f>SUM(Facilities_Masjids[[#This Row],[عدد دواليب المصاحف للرجال]:[عدد دواليب المصاحف للنساء]])</f>
        <v>6</v>
      </c>
      <c r="AS24" s="50">
        <v>6</v>
      </c>
      <c r="AT24" s="51">
        <v>0</v>
      </c>
      <c r="AU24" s="50">
        <f>SUM(Facilities_Masjids[[#This Row],[عدد الكراسي للرجال]:[عدد الكراسي للنساء]])</f>
        <v>0</v>
      </c>
      <c r="AV24" s="50">
        <v>0</v>
      </c>
      <c r="AW24" s="51">
        <v>0</v>
      </c>
      <c r="AX24" s="53" t="b">
        <v>0</v>
      </c>
      <c r="AY24" s="53" t="b">
        <v>0</v>
      </c>
      <c r="AZ24" s="53" t="b">
        <v>0</v>
      </c>
      <c r="BA24" s="57"/>
    </row>
    <row r="25" spans="2:53" x14ac:dyDescent="0.45">
      <c r="B25" s="57"/>
      <c r="C25" s="58">
        <f>ROW()-ROW(Facilities_Masjids[[#Headers],[م]])</f>
        <v>16</v>
      </c>
      <c r="D25" s="58" t="str">
        <f>_xlfn.XLOOKUP(Facilities_Masjids[[#This Row],[المدينة]],Saudi_Regions_Cities[المدينة],Saudi_Regions_Cities[المنطقة الإدارية],"")</f>
        <v>منطقة جازان</v>
      </c>
      <c r="E25" s="58">
        <f>_xlfn.XLOOKUP(Facilities_Masjids[[#This Row],[المدينة]],Saudi_Regions_Cities[المدينة],Saudi_Regions_Cities[رمز المدينة],"")</f>
        <v>6036</v>
      </c>
      <c r="F25" s="43" t="s">
        <v>141</v>
      </c>
      <c r="G25" s="43" t="s">
        <v>142</v>
      </c>
      <c r="H25" s="44">
        <f>_xlfn.XLOOKUP(Facilities_Masjids[[#This Row],[تصنيف المرفق]],Facility_Classifications[تصنيف المرفق],Facility_Classifications[رمز تصنيف المرفق],"")</f>
        <v>1</v>
      </c>
      <c r="I25" s="43" t="s">
        <v>72</v>
      </c>
      <c r="J25" s="43">
        <f>VALUE(
Facilities_Masjids[[#This Row],[رمز تصنيف المرفق]]&amp;
TEXT(
IF(Facilities_Masjids[[#This Row],[المساحة الكلية للمرفق (م2)]]="",
COUNTA(Facilities_Masjids[المساحة الكلية للمرفق (م2)])+COUNTBLANK(INDEX(Facilities_Masjids[المساحة الكلية للمرفق (م2)],1):INDEX(Facilities_Masjids[المساحة الكلية للمرفق (م2)],ROW()-ROW(Facilities_Masjids[[#Headers],[رمز المرفق]]))),
IFERROR(
IF(COUNTIF(Facilities_Masjids[المساحة الكلية للمرفق (م2)],Facilities_Masjids[[#This Row],[المساحة الكلية للمرفق (م2)]])=1,
_xlfn.RANK.EQ(Facilities_Masjids[[#This Row],[المساحة الكلية للمرفق (م2)]],Facilities_Masjids[المساحة الكلية للمرفق (م2)]),
_xlfn.RANK.EQ(Facilities_Masjids[[#This Row],[المساحة الكلية للمرفق (م2)]],Facilities_Masjids[المساحة الكلية للمرفق (م2)])+
COUNTIF(INDEX(Facilities_Masjids[المساحة الكلية للمرفق (م2)],1):INDEX(Facilities_Masjids[المساحة الكلية للمرفق (م2)],ROW()-ROW(Facilities_Masjids[[#Headers],[رمز المرفق]])),Facilities_Masjids[[#This Row],[المساحة الكلية للمرفق (م2)]])-1),
0)),
"00"))</f>
        <v>118</v>
      </c>
      <c r="K25" s="45" t="s">
        <v>143</v>
      </c>
      <c r="L25" s="46" t="s">
        <v>144</v>
      </c>
      <c r="M25" s="187"/>
      <c r="N25" s="59" t="s">
        <v>145</v>
      </c>
      <c r="O25" s="48">
        <v>17.585878850848601</v>
      </c>
      <c r="P25" s="49">
        <v>42.9360165656107</v>
      </c>
      <c r="Q25" s="50">
        <v>220</v>
      </c>
      <c r="R25" s="50">
        <v>150</v>
      </c>
      <c r="S25" s="51">
        <v>0</v>
      </c>
      <c r="T25" s="52">
        <v>30</v>
      </c>
      <c r="U25" s="50">
        <v>2</v>
      </c>
      <c r="V25" s="51">
        <v>6</v>
      </c>
      <c r="W25" s="50">
        <f>SUM(Facilities_Masjids[[#This Row],[عدد صفوف الرجال]:[عدد صفوف النساء]])</f>
        <v>7</v>
      </c>
      <c r="X25" s="50">
        <v>7</v>
      </c>
      <c r="Y25" s="51">
        <v>0</v>
      </c>
      <c r="Z25" s="50">
        <f>SUM(Facilities_Masjids[[#This Row],[سعة المرفق من المصلين]:[سعة المرفق من المصليات]])</f>
        <v>210</v>
      </c>
      <c r="AA25" s="50">
        <v>210</v>
      </c>
      <c r="AB25" s="51">
        <v>0</v>
      </c>
      <c r="AC25" s="50">
        <f>SUM(Facilities_Masjids[[#This Row],[إجمالي عدد دورات مياه الرجال]],Facilities_Masjids[[#This Row],[إجمالي عدد دورات مياه النساء]])</f>
        <v>2</v>
      </c>
      <c r="AD25" s="50">
        <f>SUM(Facilities_Masjids[[#This Row],[عدد دورات مياه المعاقين من الرجال]],Facilities_Masjids[[#This Row],[عدد دورات مياه المعاقات من النساء]])</f>
        <v>0</v>
      </c>
      <c r="AE25" s="52">
        <v>2</v>
      </c>
      <c r="AF25" s="51">
        <v>0</v>
      </c>
      <c r="AG25" s="50">
        <v>0</v>
      </c>
      <c r="AH25" s="51">
        <v>0</v>
      </c>
      <c r="AI25" s="50">
        <f>SUM(Facilities_Masjids[[#This Row],[عدد مواضئ الرجال]:[عدد مواضئ النساء]])</f>
        <v>1</v>
      </c>
      <c r="AJ25" s="50">
        <v>1</v>
      </c>
      <c r="AK25" s="51">
        <v>0</v>
      </c>
      <c r="AL25" s="50">
        <f>SUM(Facilities_Masjids[[#This Row],[عدد مصاحف الرجال]:[عدد مصاحف النساء]])</f>
        <v>100</v>
      </c>
      <c r="AM25" s="50">
        <v>100</v>
      </c>
      <c r="AN25" s="51">
        <v>0</v>
      </c>
      <c r="AO25" s="50">
        <f>SUM(Facilities_Masjids[[#This Row],[عدد حاملات المصاحف للرجال]:[عدد حاملات المصاحف للنساء]])</f>
        <v>0</v>
      </c>
      <c r="AP25" s="50">
        <v>0</v>
      </c>
      <c r="AQ25" s="51">
        <v>0</v>
      </c>
      <c r="AR25" s="50">
        <f>SUM(Facilities_Masjids[[#This Row],[عدد دواليب المصاحف للرجال]:[عدد دواليب المصاحف للنساء]])</f>
        <v>5</v>
      </c>
      <c r="AS25" s="50">
        <v>5</v>
      </c>
      <c r="AT25" s="51">
        <v>0</v>
      </c>
      <c r="AU25" s="50">
        <f>SUM(Facilities_Masjids[[#This Row],[عدد الكراسي للرجال]:[عدد الكراسي للنساء]])</f>
        <v>4</v>
      </c>
      <c r="AV25" s="50">
        <v>4</v>
      </c>
      <c r="AW25" s="51">
        <v>0</v>
      </c>
      <c r="AX25" s="53" t="b">
        <v>0</v>
      </c>
      <c r="AY25" s="53" t="b">
        <v>0</v>
      </c>
      <c r="AZ25" s="53" t="b">
        <v>0</v>
      </c>
      <c r="BA25" s="57"/>
    </row>
    <row r="26" spans="2:53" x14ac:dyDescent="0.45">
      <c r="B26" s="57"/>
      <c r="C26" s="58">
        <f>ROW()-ROW(Facilities_Masjids[[#Headers],[م]])</f>
        <v>17</v>
      </c>
      <c r="D26" s="58" t="str">
        <f>_xlfn.XLOOKUP(Facilities_Masjids[[#This Row],[المدينة]],Saudi_Regions_Cities[المدينة],Saudi_Regions_Cities[المنطقة الإدارية],"")</f>
        <v>منطقة جازان</v>
      </c>
      <c r="E26" s="58">
        <f>_xlfn.XLOOKUP(Facilities_Masjids[[#This Row],[المدينة]],Saudi_Regions_Cities[المدينة],Saudi_Regions_Cities[رمز المدينة],"")</f>
        <v>6036</v>
      </c>
      <c r="F26" s="43" t="s">
        <v>141</v>
      </c>
      <c r="G26" s="43" t="s">
        <v>146</v>
      </c>
      <c r="H26" s="44">
        <f>_xlfn.XLOOKUP(Facilities_Masjids[[#This Row],[تصنيف المرفق]],Facility_Classifications[تصنيف المرفق],Facility_Classifications[رمز تصنيف المرفق],"")</f>
        <v>1</v>
      </c>
      <c r="I26" s="43" t="s">
        <v>72</v>
      </c>
      <c r="J26" s="43">
        <f>VALUE(
Facilities_Masjids[[#This Row],[رمز تصنيف المرفق]]&amp;
TEXT(
IF(Facilities_Masjids[[#This Row],[المساحة الكلية للمرفق (م2)]]="",
COUNTA(Facilities_Masjids[المساحة الكلية للمرفق (م2)])+COUNTBLANK(INDEX(Facilities_Masjids[المساحة الكلية للمرفق (م2)],1):INDEX(Facilities_Masjids[المساحة الكلية للمرفق (م2)],ROW()-ROW(Facilities_Masjids[[#Headers],[رمز المرفق]]))),
IFERROR(
IF(COUNTIF(Facilities_Masjids[المساحة الكلية للمرفق (م2)],Facilities_Masjids[[#This Row],[المساحة الكلية للمرفق (م2)]])=1,
_xlfn.RANK.EQ(Facilities_Masjids[[#This Row],[المساحة الكلية للمرفق (م2)]],Facilities_Masjids[المساحة الكلية للمرفق (م2)]),
_xlfn.RANK.EQ(Facilities_Masjids[[#This Row],[المساحة الكلية للمرفق (م2)]],Facilities_Masjids[المساحة الكلية للمرفق (م2)])+
COUNTIF(INDEX(Facilities_Masjids[المساحة الكلية للمرفق (م2)],1):INDEX(Facilities_Masjids[المساحة الكلية للمرفق (م2)],ROW()-ROW(Facilities_Masjids[[#Headers],[رمز المرفق]])),Facilities_Masjids[[#This Row],[المساحة الكلية للمرفق (م2)]])-1),
0)),
"00"))</f>
        <v>116</v>
      </c>
      <c r="K26" s="45" t="s">
        <v>147</v>
      </c>
      <c r="L26" s="46" t="s">
        <v>148</v>
      </c>
      <c r="M26" s="187"/>
      <c r="N26" s="47" t="s">
        <v>149</v>
      </c>
      <c r="O26" s="48">
        <v>17.764305400000001</v>
      </c>
      <c r="P26" s="49">
        <v>42.7938318</v>
      </c>
      <c r="Q26" s="50">
        <v>225</v>
      </c>
      <c r="R26" s="50">
        <v>150</v>
      </c>
      <c r="S26" s="51">
        <v>0</v>
      </c>
      <c r="T26" s="52">
        <v>50</v>
      </c>
      <c r="U26" s="50">
        <v>1</v>
      </c>
      <c r="V26" s="51">
        <v>6</v>
      </c>
      <c r="W26" s="50">
        <f>SUM(Facilities_Masjids[[#This Row],[عدد صفوف الرجال]:[عدد صفوف النساء]])</f>
        <v>7</v>
      </c>
      <c r="X26" s="50">
        <v>7</v>
      </c>
      <c r="Y26" s="51">
        <v>0</v>
      </c>
      <c r="Z26" s="50">
        <f>SUM(Facilities_Masjids[[#This Row],[سعة المرفق من المصلين]:[سعة المرفق من المصليات]])</f>
        <v>210</v>
      </c>
      <c r="AA26" s="50">
        <v>210</v>
      </c>
      <c r="AB26" s="51">
        <v>0</v>
      </c>
      <c r="AC26" s="50">
        <f>SUM(Facilities_Masjids[[#This Row],[إجمالي عدد دورات مياه الرجال]],Facilities_Masjids[[#This Row],[إجمالي عدد دورات مياه النساء]])</f>
        <v>4</v>
      </c>
      <c r="AD26" s="50">
        <f>SUM(Facilities_Masjids[[#This Row],[عدد دورات مياه المعاقين من الرجال]],Facilities_Masjids[[#This Row],[عدد دورات مياه المعاقات من النساء]])</f>
        <v>0</v>
      </c>
      <c r="AE26" s="52">
        <v>4</v>
      </c>
      <c r="AF26" s="51">
        <v>0</v>
      </c>
      <c r="AG26" s="50">
        <v>0</v>
      </c>
      <c r="AH26" s="51">
        <v>0</v>
      </c>
      <c r="AI26" s="50">
        <f>SUM(Facilities_Masjids[[#This Row],[عدد مواضئ الرجال]:[عدد مواضئ النساء]])</f>
        <v>1</v>
      </c>
      <c r="AJ26" s="50">
        <v>1</v>
      </c>
      <c r="AK26" s="51">
        <v>0</v>
      </c>
      <c r="AL26" s="50">
        <f>SUM(Facilities_Masjids[[#This Row],[عدد مصاحف الرجال]:[عدد مصاحف النساء]])</f>
        <v>100</v>
      </c>
      <c r="AM26" s="50">
        <v>100</v>
      </c>
      <c r="AN26" s="51">
        <v>0</v>
      </c>
      <c r="AO26" s="50">
        <f>SUM(Facilities_Masjids[[#This Row],[عدد حاملات المصاحف للرجال]:[عدد حاملات المصاحف للنساء]])</f>
        <v>0</v>
      </c>
      <c r="AP26" s="50">
        <v>0</v>
      </c>
      <c r="AQ26" s="51">
        <v>0</v>
      </c>
      <c r="AR26" s="50">
        <f>SUM(Facilities_Masjids[[#This Row],[عدد دواليب المصاحف للرجال]:[عدد دواليب المصاحف للنساء]])</f>
        <v>1</v>
      </c>
      <c r="AS26" s="50">
        <v>1</v>
      </c>
      <c r="AT26" s="51">
        <v>0</v>
      </c>
      <c r="AU26" s="50">
        <f>SUM(Facilities_Masjids[[#This Row],[عدد الكراسي للرجال]:[عدد الكراسي للنساء]])</f>
        <v>4</v>
      </c>
      <c r="AV26" s="50">
        <v>4</v>
      </c>
      <c r="AW26" s="51">
        <v>0</v>
      </c>
      <c r="AX26" s="53" t="b">
        <v>0</v>
      </c>
      <c r="AY26" s="53" t="b">
        <v>0</v>
      </c>
      <c r="AZ26" s="53" t="b">
        <v>0</v>
      </c>
      <c r="BA26" s="57"/>
    </row>
    <row r="27" spans="2:53" x14ac:dyDescent="0.45">
      <c r="B27" s="57"/>
      <c r="C27" s="58">
        <f>ROW()-ROW(Facilities_Masjids[[#Headers],[م]])</f>
        <v>18</v>
      </c>
      <c r="D27" s="58" t="str">
        <f>_xlfn.XLOOKUP(Facilities_Masjids[[#This Row],[المدينة]],Saudi_Regions_Cities[المدينة],Saudi_Regions_Cities[المنطقة الإدارية],"")</f>
        <v>المنطقة الشرقية</v>
      </c>
      <c r="E27" s="58">
        <f>_xlfn.XLOOKUP(Facilities_Masjids[[#This Row],[المدينة]],Saudi_Regions_Cities[المدينة],Saudi_Regions_Cities[رمز المدينة],"")</f>
        <v>3067</v>
      </c>
      <c r="F27" s="43" t="s">
        <v>150</v>
      </c>
      <c r="G27" s="43" t="s">
        <v>151</v>
      </c>
      <c r="H27" s="44">
        <f>_xlfn.XLOOKUP(Facilities_Masjids[[#This Row],[تصنيف المرفق]],Facility_Classifications[تصنيف المرفق],Facility_Classifications[رمز تصنيف المرفق],"")</f>
        <v>2</v>
      </c>
      <c r="I27" s="43" t="s">
        <v>94</v>
      </c>
      <c r="J27" s="43">
        <f>VALUE(
Facilities_Masjids[[#This Row],[رمز تصنيف المرفق]]&amp;
TEXT(
IF(Facilities_Masjids[[#This Row],[المساحة الكلية للمرفق (م2)]]="",
COUNTA(Facilities_Masjids[المساحة الكلية للمرفق (م2)])+COUNTBLANK(INDEX(Facilities_Masjids[المساحة الكلية للمرفق (م2)],1):INDEX(Facilities_Masjids[المساحة الكلية للمرفق (م2)],ROW()-ROW(Facilities_Masjids[[#Headers],[رمز المرفق]]))),
IFERROR(
IF(COUNTIF(Facilities_Masjids[المساحة الكلية للمرفق (م2)],Facilities_Masjids[[#This Row],[المساحة الكلية للمرفق (م2)]])=1,
_xlfn.RANK.EQ(Facilities_Masjids[[#This Row],[المساحة الكلية للمرفق (م2)]],Facilities_Masjids[المساحة الكلية للمرفق (م2)]),
_xlfn.RANK.EQ(Facilities_Masjids[[#This Row],[المساحة الكلية للمرفق (م2)]],Facilities_Masjids[المساحة الكلية للمرفق (م2)])+
COUNTIF(INDEX(Facilities_Masjids[المساحة الكلية للمرفق (م2)],1):INDEX(Facilities_Masjids[المساحة الكلية للمرفق (م2)],ROW()-ROW(Facilities_Masjids[[#Headers],[رمز المرفق]])),Facilities_Masjids[[#This Row],[المساحة الكلية للمرفق (م2)]])-1),
0)),
"00"))</f>
        <v>224</v>
      </c>
      <c r="K27" s="45" t="s">
        <v>152</v>
      </c>
      <c r="L27" s="46" t="s">
        <v>153</v>
      </c>
      <c r="M27" s="187"/>
      <c r="N27" s="59" t="s">
        <v>154</v>
      </c>
      <c r="O27" s="48">
        <v>26.2206855352369</v>
      </c>
      <c r="P27" s="49">
        <v>49.4393610999999</v>
      </c>
      <c r="Q27" s="50">
        <v>150</v>
      </c>
      <c r="R27" s="50">
        <v>100</v>
      </c>
      <c r="S27" s="51">
        <v>0</v>
      </c>
      <c r="T27" s="52">
        <v>13</v>
      </c>
      <c r="U27" s="50">
        <v>1</v>
      </c>
      <c r="V27" s="51">
        <v>4</v>
      </c>
      <c r="W27" s="50">
        <f>SUM(Facilities_Masjids[[#This Row],[عدد صفوف الرجال]:[عدد صفوف النساء]])</f>
        <v>7</v>
      </c>
      <c r="X27" s="50">
        <v>7</v>
      </c>
      <c r="Y27" s="51">
        <v>0</v>
      </c>
      <c r="Z27" s="50">
        <f>SUM(Facilities_Masjids[[#This Row],[سعة المرفق من المصلين]:[سعة المرفق من المصليات]])</f>
        <v>140</v>
      </c>
      <c r="AA27" s="50">
        <v>140</v>
      </c>
      <c r="AB27" s="51">
        <v>0</v>
      </c>
      <c r="AC27" s="50">
        <f>SUM(Facilities_Masjids[[#This Row],[إجمالي عدد دورات مياه الرجال]],Facilities_Masjids[[#This Row],[إجمالي عدد دورات مياه النساء]])</f>
        <v>1</v>
      </c>
      <c r="AD27" s="50">
        <f>SUM(Facilities_Masjids[[#This Row],[عدد دورات مياه المعاقين من الرجال]],Facilities_Masjids[[#This Row],[عدد دورات مياه المعاقات من النساء]])</f>
        <v>0</v>
      </c>
      <c r="AE27" s="52">
        <v>1</v>
      </c>
      <c r="AF27" s="51">
        <v>0</v>
      </c>
      <c r="AG27" s="50">
        <v>0</v>
      </c>
      <c r="AH27" s="51">
        <v>0</v>
      </c>
      <c r="AI27" s="50">
        <f>SUM(Facilities_Masjids[[#This Row],[عدد مواضئ الرجال]:[عدد مواضئ النساء]])</f>
        <v>5</v>
      </c>
      <c r="AJ27" s="50">
        <v>5</v>
      </c>
      <c r="AK27" s="51">
        <v>0</v>
      </c>
      <c r="AL27" s="50">
        <f>SUM(Facilities_Masjids[[#This Row],[عدد مصاحف الرجال]:[عدد مصاحف النساء]])</f>
        <v>78</v>
      </c>
      <c r="AM27" s="50">
        <v>78</v>
      </c>
      <c r="AN27" s="51">
        <v>0</v>
      </c>
      <c r="AO27" s="50">
        <f>SUM(Facilities_Masjids[[#This Row],[عدد حاملات المصاحف للرجال]:[عدد حاملات المصاحف للنساء]])</f>
        <v>0</v>
      </c>
      <c r="AP27" s="50">
        <v>0</v>
      </c>
      <c r="AQ27" s="51">
        <v>0</v>
      </c>
      <c r="AR27" s="50">
        <f>SUM(Facilities_Masjids[[#This Row],[عدد دواليب المصاحف للرجال]:[عدد دواليب المصاحف للنساء]])</f>
        <v>4</v>
      </c>
      <c r="AS27" s="50">
        <v>4</v>
      </c>
      <c r="AT27" s="51">
        <v>0</v>
      </c>
      <c r="AU27" s="50">
        <f>SUM(Facilities_Masjids[[#This Row],[عدد الكراسي للرجال]:[عدد الكراسي للنساء]])</f>
        <v>0</v>
      </c>
      <c r="AV27" s="50">
        <v>0</v>
      </c>
      <c r="AW27" s="51">
        <v>0</v>
      </c>
      <c r="AX27" s="53" t="b">
        <v>0</v>
      </c>
      <c r="AY27" s="53" t="b">
        <v>0</v>
      </c>
      <c r="AZ27" s="53" t="b">
        <v>0</v>
      </c>
      <c r="BA27" s="57"/>
    </row>
    <row r="28" spans="2:53" x14ac:dyDescent="0.45">
      <c r="B28" s="57"/>
      <c r="C28" s="58">
        <f>ROW()-ROW(Facilities_Masjids[[#Headers],[م]])</f>
        <v>19</v>
      </c>
      <c r="D28" s="58" t="str">
        <f>_xlfn.XLOOKUP(Facilities_Masjids[[#This Row],[المدينة]],Saudi_Regions_Cities[المدينة],Saudi_Regions_Cities[المنطقة الإدارية],"")</f>
        <v>المنطقة الشرقية</v>
      </c>
      <c r="E28" s="58">
        <f>_xlfn.XLOOKUP(Facilities_Masjids[[#This Row],[المدينة]],Saudi_Regions_Cities[المدينة],Saudi_Regions_Cities[رمز المدينة],"")</f>
        <v>3001</v>
      </c>
      <c r="F28" s="43" t="s">
        <v>70</v>
      </c>
      <c r="G28" s="43" t="s">
        <v>82</v>
      </c>
      <c r="H28" s="44">
        <f>_xlfn.XLOOKUP(Facilities_Masjids[[#This Row],[تصنيف المرفق]],Facility_Classifications[تصنيف المرفق],Facility_Classifications[رمز تصنيف المرفق],"")</f>
        <v>4</v>
      </c>
      <c r="I28" s="43" t="s">
        <v>155</v>
      </c>
      <c r="J28" s="43">
        <f>VALUE(
Facilities_Masjids[[#This Row],[رمز تصنيف المرفق]]&amp;
TEXT(
IF(Facilities_Masjids[[#This Row],[المساحة الكلية للمرفق (م2)]]="",
COUNTA(Facilities_Masjids[المساحة الكلية للمرفق (م2)])+COUNTBLANK(INDEX(Facilities_Masjids[المساحة الكلية للمرفق (م2)],1):INDEX(Facilities_Masjids[المساحة الكلية للمرفق (م2)],ROW()-ROW(Facilities_Masjids[[#Headers],[رمز المرفق]]))),
IFERROR(
IF(COUNTIF(Facilities_Masjids[المساحة الكلية للمرفق (م2)],Facilities_Masjids[[#This Row],[المساحة الكلية للمرفق (م2)]])=1,
_xlfn.RANK.EQ(Facilities_Masjids[[#This Row],[المساحة الكلية للمرفق (م2)]],Facilities_Masjids[المساحة الكلية للمرفق (م2)]),
_xlfn.RANK.EQ(Facilities_Masjids[[#This Row],[المساحة الكلية للمرفق (م2)]],Facilities_Masjids[المساحة الكلية للمرفق (م2)])+
COUNTIF(INDEX(Facilities_Masjids[المساحة الكلية للمرفق (م2)],1):INDEX(Facilities_Masjids[المساحة الكلية للمرفق (م2)],ROW()-ROW(Facilities_Masjids[[#Headers],[رمز المرفق]])),Facilities_Masjids[[#This Row],[المساحة الكلية للمرفق (م2)]])-1),
0)),
"00"))</f>
        <v>431</v>
      </c>
      <c r="K28" s="45" t="s">
        <v>156</v>
      </c>
      <c r="L28" s="46" t="s">
        <v>157</v>
      </c>
      <c r="M28" s="187"/>
      <c r="N28" s="59" t="s">
        <v>158</v>
      </c>
      <c r="O28" s="48">
        <v>26.3697928062291</v>
      </c>
      <c r="P28" s="49">
        <v>50.098631297490499</v>
      </c>
      <c r="Q28" s="50"/>
      <c r="R28" s="50"/>
      <c r="S28" s="51">
        <v>0</v>
      </c>
      <c r="T28" s="52">
        <v>0</v>
      </c>
      <c r="U28" s="50">
        <v>0</v>
      </c>
      <c r="V28" s="51">
        <v>0</v>
      </c>
      <c r="W28" s="50">
        <f>SUM(Facilities_Masjids[[#This Row],[عدد صفوف الرجال]:[عدد صفوف النساء]])</f>
        <v>0</v>
      </c>
      <c r="X28" s="50">
        <v>0</v>
      </c>
      <c r="Y28" s="51">
        <v>0</v>
      </c>
      <c r="Z28" s="50">
        <f>SUM(Facilities_Masjids[[#This Row],[سعة المرفق من المصلين]:[سعة المرفق من المصليات]])</f>
        <v>0</v>
      </c>
      <c r="AA28" s="50">
        <v>0</v>
      </c>
      <c r="AB28" s="51">
        <v>0</v>
      </c>
      <c r="AC28" s="50">
        <f>SUM(Facilities_Masjids[[#This Row],[إجمالي عدد دورات مياه الرجال]],Facilities_Masjids[[#This Row],[إجمالي عدد دورات مياه النساء]])</f>
        <v>0</v>
      </c>
      <c r="AD28" s="50">
        <f>SUM(Facilities_Masjids[[#This Row],[عدد دورات مياه المعاقين من الرجال]],Facilities_Masjids[[#This Row],[عدد دورات مياه المعاقات من النساء]])</f>
        <v>0</v>
      </c>
      <c r="AE28" s="52">
        <v>0</v>
      </c>
      <c r="AF28" s="51">
        <v>0</v>
      </c>
      <c r="AG28" s="50">
        <v>0</v>
      </c>
      <c r="AH28" s="51">
        <v>0</v>
      </c>
      <c r="AI28" s="50">
        <f>SUM(Facilities_Masjids[[#This Row],[عدد مواضئ الرجال]:[عدد مواضئ النساء]])</f>
        <v>0</v>
      </c>
      <c r="AJ28" s="50">
        <v>0</v>
      </c>
      <c r="AK28" s="51">
        <v>0</v>
      </c>
      <c r="AL28" s="50">
        <f>SUM(Facilities_Masjids[[#This Row],[عدد مصاحف الرجال]:[عدد مصاحف النساء]])</f>
        <v>0</v>
      </c>
      <c r="AM28" s="50">
        <v>0</v>
      </c>
      <c r="AN28" s="51">
        <v>0</v>
      </c>
      <c r="AO28" s="50">
        <f>SUM(Facilities_Masjids[[#This Row],[عدد حاملات المصاحف للرجال]:[عدد حاملات المصاحف للنساء]])</f>
        <v>0</v>
      </c>
      <c r="AP28" s="50">
        <v>0</v>
      </c>
      <c r="AQ28" s="51">
        <v>0</v>
      </c>
      <c r="AR28" s="50">
        <f>SUM(Facilities_Masjids[[#This Row],[عدد دواليب المصاحف للرجال]:[عدد دواليب المصاحف للنساء]])</f>
        <v>0</v>
      </c>
      <c r="AS28" s="50">
        <v>0</v>
      </c>
      <c r="AT28" s="51">
        <v>0</v>
      </c>
      <c r="AU28" s="50">
        <f>SUM(Facilities_Masjids[[#This Row],[عدد الكراسي للرجال]:[عدد الكراسي للنساء]])</f>
        <v>0</v>
      </c>
      <c r="AV28" s="50">
        <v>0</v>
      </c>
      <c r="AW28" s="51">
        <v>0</v>
      </c>
      <c r="AX28" s="53" t="b">
        <v>0</v>
      </c>
      <c r="AY28" s="53" t="b">
        <v>0</v>
      </c>
      <c r="AZ28" s="53" t="b">
        <v>0</v>
      </c>
      <c r="BA28" s="57"/>
    </row>
    <row r="29" spans="2:53" x14ac:dyDescent="0.45">
      <c r="B29" s="57"/>
      <c r="C29" s="58">
        <f>ROW()-ROW(Facilities_Masjids[[#Headers],[م]])</f>
        <v>20</v>
      </c>
      <c r="D29" s="58" t="str">
        <f>_xlfn.XLOOKUP(Facilities_Masjids[[#This Row],[المدينة]],Saudi_Regions_Cities[المدينة],Saudi_Regions_Cities[المنطقة الإدارية],"")</f>
        <v>المنطقة الشرقية</v>
      </c>
      <c r="E29" s="58">
        <f>_xlfn.XLOOKUP(Facilities_Masjids[[#This Row],[المدينة]],Saudi_Regions_Cities[المدينة],Saudi_Regions_Cities[رمز المدينة],"")</f>
        <v>3001</v>
      </c>
      <c r="F29" s="43" t="s">
        <v>70</v>
      </c>
      <c r="G29" s="43" t="s">
        <v>82</v>
      </c>
      <c r="H29" s="44">
        <f>_xlfn.XLOOKUP(Facilities_Masjids[[#This Row],[تصنيف المرفق]],Facility_Classifications[تصنيف المرفق],Facility_Classifications[رمز تصنيف المرفق],"")</f>
        <v>4</v>
      </c>
      <c r="I29" s="43" t="s">
        <v>155</v>
      </c>
      <c r="J29" s="43">
        <f>VALUE(
Facilities_Masjids[[#This Row],[رمز تصنيف المرفق]]&amp;
TEXT(
IF(Facilities_Masjids[[#This Row],[المساحة الكلية للمرفق (م2)]]="",
COUNTA(Facilities_Masjids[المساحة الكلية للمرفق (م2)])+COUNTBLANK(INDEX(Facilities_Masjids[المساحة الكلية للمرفق (م2)],1):INDEX(Facilities_Masjids[المساحة الكلية للمرفق (م2)],ROW()-ROW(Facilities_Masjids[[#Headers],[رمز المرفق]]))),
IFERROR(
IF(COUNTIF(Facilities_Masjids[المساحة الكلية للمرفق (م2)],Facilities_Masjids[[#This Row],[المساحة الكلية للمرفق (م2)]])=1,
_xlfn.RANK.EQ(Facilities_Masjids[[#This Row],[المساحة الكلية للمرفق (م2)]],Facilities_Masjids[المساحة الكلية للمرفق (م2)]),
_xlfn.RANK.EQ(Facilities_Masjids[[#This Row],[المساحة الكلية للمرفق (م2)]],Facilities_Masjids[المساحة الكلية للمرفق (م2)])+
COUNTIF(INDEX(Facilities_Masjids[المساحة الكلية للمرفق (م2)],1):INDEX(Facilities_Masjids[المساحة الكلية للمرفق (م2)],ROW()-ROW(Facilities_Masjids[[#Headers],[رمز المرفق]])),Facilities_Masjids[[#This Row],[المساحة الكلية للمرفق (م2)]])-1),
0)),
"00"))</f>
        <v>432</v>
      </c>
      <c r="K29" s="45" t="s">
        <v>159</v>
      </c>
      <c r="L29" s="46" t="s">
        <v>160</v>
      </c>
      <c r="M29" s="187"/>
      <c r="N29" s="59" t="s">
        <v>161</v>
      </c>
      <c r="O29" s="48">
        <v>26.3697952093436</v>
      </c>
      <c r="P29" s="49">
        <v>50.098640685221902</v>
      </c>
      <c r="Q29" s="50"/>
      <c r="R29" s="50"/>
      <c r="S29" s="51">
        <v>0</v>
      </c>
      <c r="T29" s="52">
        <v>0</v>
      </c>
      <c r="U29" s="50">
        <v>0</v>
      </c>
      <c r="V29" s="51">
        <v>0</v>
      </c>
      <c r="W29" s="50">
        <f>SUM(Facilities_Masjids[[#This Row],[عدد صفوف الرجال]:[عدد صفوف النساء]])</f>
        <v>0</v>
      </c>
      <c r="X29" s="50">
        <v>0</v>
      </c>
      <c r="Y29" s="51">
        <v>0</v>
      </c>
      <c r="Z29" s="50">
        <f>SUM(Facilities_Masjids[[#This Row],[سعة المرفق من المصلين]:[سعة المرفق من المصليات]])</f>
        <v>0</v>
      </c>
      <c r="AA29" s="50">
        <v>0</v>
      </c>
      <c r="AB29" s="51">
        <v>0</v>
      </c>
      <c r="AC29" s="50">
        <f>SUM(Facilities_Masjids[[#This Row],[إجمالي عدد دورات مياه الرجال]],Facilities_Masjids[[#This Row],[إجمالي عدد دورات مياه النساء]])</f>
        <v>0</v>
      </c>
      <c r="AD29" s="50">
        <f>SUM(Facilities_Masjids[[#This Row],[عدد دورات مياه المعاقين من الرجال]],Facilities_Masjids[[#This Row],[عدد دورات مياه المعاقات من النساء]])</f>
        <v>0</v>
      </c>
      <c r="AE29" s="52">
        <v>0</v>
      </c>
      <c r="AF29" s="51">
        <v>0</v>
      </c>
      <c r="AG29" s="50">
        <v>0</v>
      </c>
      <c r="AH29" s="51">
        <v>0</v>
      </c>
      <c r="AI29" s="50">
        <f>SUM(Facilities_Masjids[[#This Row],[عدد مواضئ الرجال]:[عدد مواضئ النساء]])</f>
        <v>0</v>
      </c>
      <c r="AJ29" s="50">
        <v>0</v>
      </c>
      <c r="AK29" s="51">
        <v>0</v>
      </c>
      <c r="AL29" s="50">
        <f>SUM(Facilities_Masjids[[#This Row],[عدد مصاحف الرجال]:[عدد مصاحف النساء]])</f>
        <v>0</v>
      </c>
      <c r="AM29" s="50">
        <v>0</v>
      </c>
      <c r="AN29" s="51">
        <v>0</v>
      </c>
      <c r="AO29" s="50">
        <f>SUM(Facilities_Masjids[[#This Row],[عدد حاملات المصاحف للرجال]:[عدد حاملات المصاحف للنساء]])</f>
        <v>0</v>
      </c>
      <c r="AP29" s="50">
        <v>0</v>
      </c>
      <c r="AQ29" s="51">
        <v>0</v>
      </c>
      <c r="AR29" s="50">
        <f>SUM(Facilities_Masjids[[#This Row],[عدد دواليب المصاحف للرجال]:[عدد دواليب المصاحف للنساء]])</f>
        <v>0</v>
      </c>
      <c r="AS29" s="50">
        <v>0</v>
      </c>
      <c r="AT29" s="51">
        <v>0</v>
      </c>
      <c r="AU29" s="50">
        <f>SUM(Facilities_Masjids[[#This Row],[عدد الكراسي للرجال]:[عدد الكراسي للنساء]])</f>
        <v>0</v>
      </c>
      <c r="AV29" s="50">
        <v>0</v>
      </c>
      <c r="AW29" s="51">
        <v>0</v>
      </c>
      <c r="AX29" s="53" t="b">
        <v>0</v>
      </c>
      <c r="AY29" s="53" t="b">
        <v>0</v>
      </c>
      <c r="AZ29" s="53" t="b">
        <v>0</v>
      </c>
      <c r="BA29" s="57"/>
    </row>
    <row r="30" spans="2:53" x14ac:dyDescent="0.45">
      <c r="B30" s="57"/>
      <c r="C30" s="58">
        <f>ROW()-ROW(Facilities_Masjids[[#Headers],[م]])</f>
        <v>21</v>
      </c>
      <c r="D30" s="58" t="str">
        <f>_xlfn.XLOOKUP(Facilities_Masjids[[#This Row],[المدينة]],Saudi_Regions_Cities[المدينة],Saudi_Regions_Cities[المنطقة الإدارية],"")</f>
        <v>منطقة مكة المكرمة</v>
      </c>
      <c r="E30" s="58">
        <f>_xlfn.XLOOKUP(Facilities_Masjids[[#This Row],[المدينة]],Saudi_Regions_Cities[المدينة],Saudi_Regions_Cities[رمز المدينة],"")</f>
        <v>2002</v>
      </c>
      <c r="F30" s="43" t="s">
        <v>87</v>
      </c>
      <c r="G30" s="43" t="s">
        <v>88</v>
      </c>
      <c r="H30" s="44">
        <f>_xlfn.XLOOKUP(Facilities_Masjids[[#This Row],[تصنيف المرفق]],Facility_Classifications[تصنيف المرفق],Facility_Classifications[رمز تصنيف المرفق],"")</f>
        <v>4</v>
      </c>
      <c r="I30" s="43" t="s">
        <v>155</v>
      </c>
      <c r="J30" s="43">
        <f>VALUE(
Facilities_Masjids[[#This Row],[رمز تصنيف المرفق]]&amp;
TEXT(
IF(Facilities_Masjids[[#This Row],[المساحة الكلية للمرفق (م2)]]="",
COUNTA(Facilities_Masjids[المساحة الكلية للمرفق (م2)])+COUNTBLANK(INDEX(Facilities_Masjids[المساحة الكلية للمرفق (م2)],1):INDEX(Facilities_Masjids[المساحة الكلية للمرفق (م2)],ROW()-ROW(Facilities_Masjids[[#Headers],[رمز المرفق]]))),
IFERROR(
IF(COUNTIF(Facilities_Masjids[المساحة الكلية للمرفق (م2)],Facilities_Masjids[[#This Row],[المساحة الكلية للمرفق (م2)]])=1,
_xlfn.RANK.EQ(Facilities_Masjids[[#This Row],[المساحة الكلية للمرفق (م2)]],Facilities_Masjids[المساحة الكلية للمرفق (م2)]),
_xlfn.RANK.EQ(Facilities_Masjids[[#This Row],[المساحة الكلية للمرفق (م2)]],Facilities_Masjids[المساحة الكلية للمرفق (م2)])+
COUNTIF(INDEX(Facilities_Masjids[المساحة الكلية للمرفق (م2)],1):INDEX(Facilities_Masjids[المساحة الكلية للمرفق (م2)],ROW()-ROW(Facilities_Masjids[[#Headers],[رمز المرفق]])),Facilities_Masjids[[#This Row],[المساحة الكلية للمرفق (م2)]])-1),
0)),
"00"))</f>
        <v>433</v>
      </c>
      <c r="K30" s="45" t="s">
        <v>162</v>
      </c>
      <c r="L30" s="46" t="s">
        <v>163</v>
      </c>
      <c r="M30" s="187"/>
      <c r="N30" s="59" t="s">
        <v>164</v>
      </c>
      <c r="O30" s="48">
        <v>21.3536820556617</v>
      </c>
      <c r="P30" s="49">
        <v>39.839819342290603</v>
      </c>
      <c r="Q30" s="50"/>
      <c r="R30" s="50"/>
      <c r="S30" s="51">
        <v>0</v>
      </c>
      <c r="T30" s="52">
        <v>0</v>
      </c>
      <c r="U30" s="50">
        <v>0</v>
      </c>
      <c r="V30" s="51">
        <v>0</v>
      </c>
      <c r="W30" s="50">
        <f>SUM(Facilities_Masjids[[#This Row],[عدد صفوف الرجال]:[عدد صفوف النساء]])</f>
        <v>0</v>
      </c>
      <c r="X30" s="50">
        <v>0</v>
      </c>
      <c r="Y30" s="51">
        <v>0</v>
      </c>
      <c r="Z30" s="50">
        <f>SUM(Facilities_Masjids[[#This Row],[سعة المرفق من المصلين]:[سعة المرفق من المصليات]])</f>
        <v>0</v>
      </c>
      <c r="AA30" s="50">
        <v>0</v>
      </c>
      <c r="AB30" s="51">
        <v>0</v>
      </c>
      <c r="AC30" s="50">
        <f>SUM(Facilities_Masjids[[#This Row],[إجمالي عدد دورات مياه الرجال]],Facilities_Masjids[[#This Row],[إجمالي عدد دورات مياه النساء]])</f>
        <v>0</v>
      </c>
      <c r="AD30" s="50">
        <f>SUM(Facilities_Masjids[[#This Row],[عدد دورات مياه المعاقين من الرجال]],Facilities_Masjids[[#This Row],[عدد دورات مياه المعاقات من النساء]])</f>
        <v>0</v>
      </c>
      <c r="AE30" s="52">
        <v>0</v>
      </c>
      <c r="AF30" s="51">
        <v>0</v>
      </c>
      <c r="AG30" s="50">
        <v>0</v>
      </c>
      <c r="AH30" s="51">
        <v>0</v>
      </c>
      <c r="AI30" s="50">
        <f>SUM(Facilities_Masjids[[#This Row],[عدد مواضئ الرجال]:[عدد مواضئ النساء]])</f>
        <v>0</v>
      </c>
      <c r="AJ30" s="50">
        <v>0</v>
      </c>
      <c r="AK30" s="51">
        <v>0</v>
      </c>
      <c r="AL30" s="50">
        <f>SUM(Facilities_Masjids[[#This Row],[عدد مصاحف الرجال]:[عدد مصاحف النساء]])</f>
        <v>0</v>
      </c>
      <c r="AM30" s="50">
        <v>0</v>
      </c>
      <c r="AN30" s="51">
        <v>0</v>
      </c>
      <c r="AO30" s="50">
        <f>SUM(Facilities_Masjids[[#This Row],[عدد حاملات المصاحف للرجال]:[عدد حاملات المصاحف للنساء]])</f>
        <v>0</v>
      </c>
      <c r="AP30" s="50">
        <v>0</v>
      </c>
      <c r="AQ30" s="51">
        <v>0</v>
      </c>
      <c r="AR30" s="50">
        <f>SUM(Facilities_Masjids[[#This Row],[عدد دواليب المصاحف للرجال]:[عدد دواليب المصاحف للنساء]])</f>
        <v>0</v>
      </c>
      <c r="AS30" s="50">
        <v>0</v>
      </c>
      <c r="AT30" s="51">
        <v>0</v>
      </c>
      <c r="AU30" s="50">
        <f>SUM(Facilities_Masjids[[#This Row],[عدد الكراسي للرجال]:[عدد الكراسي للنساء]])</f>
        <v>0</v>
      </c>
      <c r="AV30" s="50">
        <v>0</v>
      </c>
      <c r="AW30" s="51">
        <v>0</v>
      </c>
      <c r="AX30" s="53" t="b">
        <v>0</v>
      </c>
      <c r="AY30" s="53" t="b">
        <v>0</v>
      </c>
      <c r="AZ30" s="53" t="b">
        <v>0</v>
      </c>
      <c r="BA30" s="57"/>
    </row>
    <row r="31" spans="2:53" x14ac:dyDescent="0.45">
      <c r="B31" s="57"/>
      <c r="C31" s="58">
        <f>ROW()-ROW(Facilities_Masjids[[#Headers],[م]])</f>
        <v>22</v>
      </c>
      <c r="D31" s="58" t="str">
        <f>_xlfn.XLOOKUP(Facilities_Masjids[[#This Row],[المدينة]],Saudi_Regions_Cities[المدينة],Saudi_Regions_Cities[المنطقة الإدارية],"")</f>
        <v>المنطقة الشرقية</v>
      </c>
      <c r="E31" s="58">
        <f>_xlfn.XLOOKUP(Facilities_Masjids[[#This Row],[المدينة]],Saudi_Regions_Cities[المدينة],Saudi_Regions_Cities[رمز المدينة],"")</f>
        <v>3001</v>
      </c>
      <c r="F31" s="43" t="s">
        <v>70</v>
      </c>
      <c r="G31" s="43" t="s">
        <v>165</v>
      </c>
      <c r="H31" s="44">
        <f>_xlfn.XLOOKUP(Facilities_Masjids[[#This Row],[تصنيف المرفق]],Facility_Classifications[تصنيف المرفق],Facility_Classifications[رمز تصنيف المرفق],"")</f>
        <v>2</v>
      </c>
      <c r="I31" s="43" t="s">
        <v>94</v>
      </c>
      <c r="J31" s="43">
        <f>VALUE(
Facilities_Masjids[[#This Row],[رمز تصنيف المرفق]]&amp;
TEXT(
IF(Facilities_Masjids[[#This Row],[المساحة الكلية للمرفق (م2)]]="",
COUNTA(Facilities_Masjids[المساحة الكلية للمرفق (م2)])+COUNTBLANK(INDEX(Facilities_Masjids[المساحة الكلية للمرفق (م2)],1):INDEX(Facilities_Masjids[المساحة الكلية للمرفق (م2)],ROW()-ROW(Facilities_Masjids[[#Headers],[رمز المرفق]]))),
IFERROR(
IF(COUNTIF(Facilities_Masjids[المساحة الكلية للمرفق (م2)],Facilities_Masjids[[#This Row],[المساحة الكلية للمرفق (م2)]])=1,
_xlfn.RANK.EQ(Facilities_Masjids[[#This Row],[المساحة الكلية للمرفق (م2)]],Facilities_Masjids[المساحة الكلية للمرفق (م2)]),
_xlfn.RANK.EQ(Facilities_Masjids[[#This Row],[المساحة الكلية للمرفق (م2)]],Facilities_Masjids[المساحة الكلية للمرفق (م2)])+
COUNTIF(INDEX(Facilities_Masjids[المساحة الكلية للمرفق (م2)],1):INDEX(Facilities_Masjids[المساحة الكلية للمرفق (م2)],ROW()-ROW(Facilities_Masjids[[#Headers],[رمز المرفق]])),Facilities_Masjids[[#This Row],[المساحة الكلية للمرفق (م2)]])-1),
0)),
"00"))</f>
        <v>227</v>
      </c>
      <c r="K31" s="45" t="s">
        <v>166</v>
      </c>
      <c r="L31" s="46" t="s">
        <v>167</v>
      </c>
      <c r="M31" s="187"/>
      <c r="N31" s="59" t="s">
        <v>168</v>
      </c>
      <c r="O31" s="48">
        <v>26.2485342044736</v>
      </c>
      <c r="P31" s="49">
        <v>50.007654530785501</v>
      </c>
      <c r="Q31" s="50">
        <v>48</v>
      </c>
      <c r="R31" s="50">
        <v>48</v>
      </c>
      <c r="S31" s="51">
        <v>0</v>
      </c>
      <c r="T31" s="52">
        <v>0</v>
      </c>
      <c r="U31" s="50">
        <v>1</v>
      </c>
      <c r="V31" s="51">
        <v>6</v>
      </c>
      <c r="W31" s="50">
        <f>SUM(Facilities_Masjids[[#This Row],[عدد صفوف الرجال]:[عدد صفوف النساء]])</f>
        <v>3</v>
      </c>
      <c r="X31" s="50">
        <v>3</v>
      </c>
      <c r="Y31" s="51">
        <v>0</v>
      </c>
      <c r="Z31" s="50">
        <f>SUM(Facilities_Masjids[[#This Row],[سعة المرفق من المصلين]:[سعة المرفق من المصليات]])</f>
        <v>110</v>
      </c>
      <c r="AA31" s="50">
        <v>110</v>
      </c>
      <c r="AB31" s="51">
        <v>0</v>
      </c>
      <c r="AC31" s="50">
        <f>SUM(Facilities_Masjids[[#This Row],[إجمالي عدد دورات مياه الرجال]],Facilities_Masjids[[#This Row],[إجمالي عدد دورات مياه النساء]])</f>
        <v>0</v>
      </c>
      <c r="AD31" s="50">
        <f>SUM(Facilities_Masjids[[#This Row],[عدد دورات مياه المعاقين من الرجال]],Facilities_Masjids[[#This Row],[عدد دورات مياه المعاقات من النساء]])</f>
        <v>0</v>
      </c>
      <c r="AE31" s="52">
        <v>0</v>
      </c>
      <c r="AF31" s="51">
        <v>0</v>
      </c>
      <c r="AG31" s="50">
        <v>0</v>
      </c>
      <c r="AH31" s="51">
        <v>0</v>
      </c>
      <c r="AI31" s="50">
        <f>SUM(Facilities_Masjids[[#This Row],[عدد مواضئ الرجال]:[عدد مواضئ النساء]])</f>
        <v>0</v>
      </c>
      <c r="AJ31" s="50">
        <v>0</v>
      </c>
      <c r="AK31" s="51">
        <v>0</v>
      </c>
      <c r="AL31" s="50">
        <f>SUM(Facilities_Masjids[[#This Row],[عدد مصاحف الرجال]:[عدد مصاحف النساء]])</f>
        <v>8</v>
      </c>
      <c r="AM31" s="50">
        <v>8</v>
      </c>
      <c r="AN31" s="51">
        <v>0</v>
      </c>
      <c r="AO31" s="50">
        <f>SUM(Facilities_Masjids[[#This Row],[عدد حاملات المصاحف للرجال]:[عدد حاملات المصاحف للنساء]])</f>
        <v>0</v>
      </c>
      <c r="AP31" s="50">
        <v>0</v>
      </c>
      <c r="AQ31" s="51">
        <v>0</v>
      </c>
      <c r="AR31" s="50">
        <f>SUM(Facilities_Masjids[[#This Row],[عدد دواليب المصاحف للرجال]:[عدد دواليب المصاحف للنساء]])</f>
        <v>1</v>
      </c>
      <c r="AS31" s="50">
        <v>1</v>
      </c>
      <c r="AT31" s="51">
        <v>0</v>
      </c>
      <c r="AU31" s="50">
        <f>SUM(Facilities_Masjids[[#This Row],[عدد الكراسي للرجال]:[عدد الكراسي للنساء]])</f>
        <v>1</v>
      </c>
      <c r="AV31" s="50">
        <v>1</v>
      </c>
      <c r="AW31" s="51">
        <v>0</v>
      </c>
      <c r="AX31" s="53" t="b">
        <v>0</v>
      </c>
      <c r="AY31" s="53" t="b">
        <v>0</v>
      </c>
      <c r="AZ31" s="53" t="b">
        <v>0</v>
      </c>
      <c r="BA31" s="57"/>
    </row>
    <row r="32" spans="2:53" x14ac:dyDescent="0.45">
      <c r="B32" s="57"/>
      <c r="C32" s="58">
        <f>ROW()-ROW(Facilities_Masjids[[#Headers],[م]])</f>
        <v>23</v>
      </c>
      <c r="D32" s="58" t="str">
        <f>_xlfn.XLOOKUP(Facilities_Masjids[[#This Row],[المدينة]],Saudi_Regions_Cities[المدينة],Saudi_Regions_Cities[المنطقة الإدارية],"")</f>
        <v>المنطقة الشرقية</v>
      </c>
      <c r="E32" s="58">
        <f>_xlfn.XLOOKUP(Facilities_Masjids[[#This Row],[المدينة]],Saudi_Regions_Cities[المدينة],Saudi_Regions_Cities[رمز المدينة],"")</f>
        <v>3001</v>
      </c>
      <c r="F32" s="43" t="s">
        <v>70</v>
      </c>
      <c r="G32" s="43" t="s">
        <v>165</v>
      </c>
      <c r="H32" s="44">
        <f>_xlfn.XLOOKUP(Facilities_Masjids[[#This Row],[تصنيف المرفق]],Facility_Classifications[تصنيف المرفق],Facility_Classifications[رمز تصنيف المرفق],"")</f>
        <v>1</v>
      </c>
      <c r="I32" s="43" t="s">
        <v>72</v>
      </c>
      <c r="J32" s="43">
        <f>VALUE(
Facilities_Masjids[[#This Row],[رمز تصنيف المرفق]]&amp;
TEXT(
IF(Facilities_Masjids[[#This Row],[المساحة الكلية للمرفق (م2)]]="",
COUNTA(Facilities_Masjids[المساحة الكلية للمرفق (م2)])+COUNTBLANK(INDEX(Facilities_Masjids[المساحة الكلية للمرفق (م2)],1):INDEX(Facilities_Masjids[المساحة الكلية للمرفق (م2)],ROW()-ROW(Facilities_Masjids[[#Headers],[رمز المرفق]]))),
IFERROR(
IF(COUNTIF(Facilities_Masjids[المساحة الكلية للمرفق (م2)],Facilities_Masjids[[#This Row],[المساحة الكلية للمرفق (م2)]])=1,
_xlfn.RANK.EQ(Facilities_Masjids[[#This Row],[المساحة الكلية للمرفق (م2)]],Facilities_Masjids[المساحة الكلية للمرفق (م2)]),
_xlfn.RANK.EQ(Facilities_Masjids[[#This Row],[المساحة الكلية للمرفق (م2)]],Facilities_Masjids[المساحة الكلية للمرفق (م2)])+
COUNTIF(INDEX(Facilities_Masjids[المساحة الكلية للمرفق (م2)],1):INDEX(Facilities_Masjids[المساحة الكلية للمرفق (م2)],ROW()-ROW(Facilities_Masjids[[#Headers],[رمز المرفق]])),Facilities_Masjids[[#This Row],[المساحة الكلية للمرفق (م2)]])-1),
0)),
"00"))</f>
        <v>110</v>
      </c>
      <c r="K32" s="45" t="s">
        <v>169</v>
      </c>
      <c r="L32" s="46" t="s">
        <v>170</v>
      </c>
      <c r="M32" s="187"/>
      <c r="N32" s="59" t="s">
        <v>171</v>
      </c>
      <c r="O32" s="48">
        <v>26.258872846749298</v>
      </c>
      <c r="P32" s="49">
        <v>49.951186342328199</v>
      </c>
      <c r="Q32" s="50">
        <v>660</v>
      </c>
      <c r="R32" s="50">
        <v>352</v>
      </c>
      <c r="S32" s="51">
        <v>0</v>
      </c>
      <c r="T32" s="52">
        <v>0</v>
      </c>
      <c r="U32" s="50">
        <v>2</v>
      </c>
      <c r="V32" s="51">
        <v>0</v>
      </c>
      <c r="W32" s="50">
        <f>SUM(Facilities_Masjids[[#This Row],[عدد صفوف الرجال]:[عدد صفوف النساء]])</f>
        <v>11</v>
      </c>
      <c r="X32" s="50">
        <v>11</v>
      </c>
      <c r="Y32" s="51">
        <v>0</v>
      </c>
      <c r="Z32" s="50">
        <f>SUM(Facilities_Masjids[[#This Row],[سعة المرفق من المصلين]:[سعة المرفق من المصليات]])</f>
        <v>448</v>
      </c>
      <c r="AA32" s="50">
        <v>448</v>
      </c>
      <c r="AB32" s="51">
        <v>0</v>
      </c>
      <c r="AC32" s="50">
        <f>SUM(Facilities_Masjids[[#This Row],[إجمالي عدد دورات مياه الرجال]],Facilities_Masjids[[#This Row],[إجمالي عدد دورات مياه النساء]])</f>
        <v>7</v>
      </c>
      <c r="AD32" s="50">
        <f>SUM(Facilities_Masjids[[#This Row],[عدد دورات مياه المعاقين من الرجال]],Facilities_Masjids[[#This Row],[عدد دورات مياه المعاقات من النساء]])</f>
        <v>0</v>
      </c>
      <c r="AE32" s="52">
        <v>7</v>
      </c>
      <c r="AF32" s="51">
        <v>0</v>
      </c>
      <c r="AG32" s="50">
        <v>0</v>
      </c>
      <c r="AH32" s="51">
        <v>0</v>
      </c>
      <c r="AI32" s="50">
        <f>SUM(Facilities_Masjids[[#This Row],[عدد مواضئ الرجال]:[عدد مواضئ النساء]])</f>
        <v>14</v>
      </c>
      <c r="AJ32" s="50">
        <v>14</v>
      </c>
      <c r="AK32" s="51">
        <v>0</v>
      </c>
      <c r="AL32" s="50">
        <f>SUM(Facilities_Masjids[[#This Row],[عدد مصاحف الرجال]:[عدد مصاحف النساء]])</f>
        <v>10</v>
      </c>
      <c r="AM32" s="50">
        <v>10</v>
      </c>
      <c r="AN32" s="51">
        <v>0</v>
      </c>
      <c r="AO32" s="50">
        <f>SUM(Facilities_Masjids[[#This Row],[عدد حاملات المصاحف للرجال]:[عدد حاملات المصاحف للنساء]])</f>
        <v>0</v>
      </c>
      <c r="AP32" s="50">
        <v>0</v>
      </c>
      <c r="AQ32" s="51">
        <v>0</v>
      </c>
      <c r="AR32" s="50">
        <f>SUM(Facilities_Masjids[[#This Row],[عدد دواليب المصاحف للرجال]:[عدد دواليب المصاحف للنساء]])</f>
        <v>0</v>
      </c>
      <c r="AS32" s="50">
        <v>0</v>
      </c>
      <c r="AT32" s="51">
        <v>0</v>
      </c>
      <c r="AU32" s="50">
        <f>SUM(Facilities_Masjids[[#This Row],[عدد الكراسي للرجال]:[عدد الكراسي للنساء]])</f>
        <v>0</v>
      </c>
      <c r="AV32" s="50">
        <v>0</v>
      </c>
      <c r="AW32" s="51">
        <v>0</v>
      </c>
      <c r="AX32" s="53" t="b">
        <v>0</v>
      </c>
      <c r="AY32" s="53" t="b">
        <v>0</v>
      </c>
      <c r="AZ32" s="53" t="b">
        <v>0</v>
      </c>
      <c r="BA32" s="57"/>
    </row>
    <row r="33" spans="2:53" x14ac:dyDescent="0.45">
      <c r="B33" s="57"/>
      <c r="C33" s="58">
        <f>ROW()-ROW(Facilities_Masjids[[#Headers],[م]])</f>
        <v>24</v>
      </c>
      <c r="D33" s="58" t="str">
        <f>_xlfn.XLOOKUP(Facilities_Masjids[[#This Row],[المدينة]],Saudi_Regions_Cities[المدينة],Saudi_Regions_Cities[المنطقة الإدارية],"")</f>
        <v>المنطقة الشرقية</v>
      </c>
      <c r="E33" s="58">
        <f>_xlfn.XLOOKUP(Facilities_Masjids[[#This Row],[المدينة]],Saudi_Regions_Cities[المدينة],Saudi_Regions_Cities[رمز المدينة],"")</f>
        <v>3001</v>
      </c>
      <c r="F33" s="43" t="s">
        <v>70</v>
      </c>
      <c r="G33" s="43" t="s">
        <v>172</v>
      </c>
      <c r="H33" s="44">
        <f>_xlfn.XLOOKUP(Facilities_Masjids[[#This Row],[تصنيف المرفق]],Facility_Classifications[تصنيف المرفق],Facility_Classifications[رمز تصنيف المرفق],"")</f>
        <v>2</v>
      </c>
      <c r="I33" s="43" t="s">
        <v>94</v>
      </c>
      <c r="J33" s="43">
        <f>VALUE(
Facilities_Masjids[[#This Row],[رمز تصنيف المرفق]]&amp;
TEXT(
IF(Facilities_Masjids[[#This Row],[المساحة الكلية للمرفق (م2)]]="",
COUNTA(Facilities_Masjids[المساحة الكلية للمرفق (م2)])+COUNTBLANK(INDEX(Facilities_Masjids[المساحة الكلية للمرفق (م2)],1):INDEX(Facilities_Masjids[المساحة الكلية للمرفق (م2)],ROW()-ROW(Facilities_Masjids[[#Headers],[رمز المرفق]]))),
IFERROR(
IF(COUNTIF(Facilities_Masjids[المساحة الكلية للمرفق (م2)],Facilities_Masjids[[#This Row],[المساحة الكلية للمرفق (م2)]])=1,
_xlfn.RANK.EQ(Facilities_Masjids[[#This Row],[المساحة الكلية للمرفق (م2)]],Facilities_Masjids[المساحة الكلية للمرفق (م2)]),
_xlfn.RANK.EQ(Facilities_Masjids[[#This Row],[المساحة الكلية للمرفق (م2)]],Facilities_Masjids[المساحة الكلية للمرفق (م2)])+
COUNTIF(INDEX(Facilities_Masjids[المساحة الكلية للمرفق (م2)],1):INDEX(Facilities_Masjids[المساحة الكلية للمرفق (م2)],ROW()-ROW(Facilities_Masjids[[#Headers],[رمز المرفق]])),Facilities_Masjids[[#This Row],[المساحة الكلية للمرفق (م2)]])-1),
0)),
"00"))</f>
        <v>222</v>
      </c>
      <c r="K33" s="45" t="s">
        <v>173</v>
      </c>
      <c r="L33" s="46" t="s">
        <v>174</v>
      </c>
      <c r="M33" s="187"/>
      <c r="N33" s="59" t="s">
        <v>175</v>
      </c>
      <c r="O33" s="48">
        <v>26.395721712876401</v>
      </c>
      <c r="P33" s="49">
        <v>50.123265071164099</v>
      </c>
      <c r="Q33" s="50">
        <v>156</v>
      </c>
      <c r="R33" s="50">
        <v>96</v>
      </c>
      <c r="S33" s="51">
        <v>0</v>
      </c>
      <c r="T33" s="52">
        <v>6</v>
      </c>
      <c r="U33" s="50">
        <v>1</v>
      </c>
      <c r="V33" s="51">
        <v>2</v>
      </c>
      <c r="W33" s="50">
        <f>SUM(Facilities_Masjids[[#This Row],[عدد صفوف الرجال]:[عدد صفوف النساء]])</f>
        <v>6</v>
      </c>
      <c r="X33" s="50">
        <v>6</v>
      </c>
      <c r="Y33" s="51">
        <v>0</v>
      </c>
      <c r="Z33" s="50">
        <f>SUM(Facilities_Masjids[[#This Row],[سعة المرفق من المصلين]:[سعة المرفق من المصليات]])</f>
        <v>216</v>
      </c>
      <c r="AA33" s="50">
        <v>216</v>
      </c>
      <c r="AB33" s="51">
        <v>0</v>
      </c>
      <c r="AC33" s="50">
        <f>SUM(Facilities_Masjids[[#This Row],[إجمالي عدد دورات مياه الرجال]],Facilities_Masjids[[#This Row],[إجمالي عدد دورات مياه النساء]])</f>
        <v>5</v>
      </c>
      <c r="AD33" s="50">
        <f>SUM(Facilities_Masjids[[#This Row],[عدد دورات مياه المعاقين من الرجال]],Facilities_Masjids[[#This Row],[عدد دورات مياه المعاقات من النساء]])</f>
        <v>0</v>
      </c>
      <c r="AE33" s="52">
        <v>5</v>
      </c>
      <c r="AF33" s="51">
        <v>0</v>
      </c>
      <c r="AG33" s="50">
        <v>0</v>
      </c>
      <c r="AH33" s="51">
        <v>0</v>
      </c>
      <c r="AI33" s="50">
        <f>SUM(Facilities_Masjids[[#This Row],[عدد مواضئ الرجال]:[عدد مواضئ النساء]])</f>
        <v>5</v>
      </c>
      <c r="AJ33" s="50">
        <v>5</v>
      </c>
      <c r="AK33" s="51">
        <v>0</v>
      </c>
      <c r="AL33" s="50">
        <f>SUM(Facilities_Masjids[[#This Row],[عدد مصاحف الرجال]:[عدد مصاحف النساء]])</f>
        <v>35</v>
      </c>
      <c r="AM33" s="50">
        <v>35</v>
      </c>
      <c r="AN33" s="51">
        <v>0</v>
      </c>
      <c r="AO33" s="50">
        <f>SUM(Facilities_Masjids[[#This Row],[عدد حاملات المصاحف للرجال]:[عدد حاملات المصاحف للنساء]])</f>
        <v>2</v>
      </c>
      <c r="AP33" s="50">
        <v>2</v>
      </c>
      <c r="AQ33" s="51">
        <v>0</v>
      </c>
      <c r="AR33" s="50">
        <f>SUM(Facilities_Masjids[[#This Row],[عدد دواليب المصاحف للرجال]:[عدد دواليب المصاحف للنساء]])</f>
        <v>1</v>
      </c>
      <c r="AS33" s="50">
        <v>1</v>
      </c>
      <c r="AT33" s="51">
        <v>0</v>
      </c>
      <c r="AU33" s="50">
        <f>SUM(Facilities_Masjids[[#This Row],[عدد الكراسي للرجال]:[عدد الكراسي للنساء]])</f>
        <v>0</v>
      </c>
      <c r="AV33" s="50">
        <v>0</v>
      </c>
      <c r="AW33" s="51">
        <v>0</v>
      </c>
      <c r="AX33" s="53" t="b">
        <v>0</v>
      </c>
      <c r="AY33" s="53" t="b">
        <v>0</v>
      </c>
      <c r="AZ33" s="53" t="b">
        <v>0</v>
      </c>
      <c r="BA33" s="57"/>
    </row>
    <row r="34" spans="2:53" x14ac:dyDescent="0.45">
      <c r="B34" s="57"/>
      <c r="C34" s="58">
        <f>ROW()-ROW(Facilities_Masjids[[#Headers],[م]])</f>
        <v>25</v>
      </c>
      <c r="D34" s="58" t="str">
        <f>_xlfn.XLOOKUP(Facilities_Masjids[[#This Row],[المدينة]],Saudi_Regions_Cities[المدينة],Saudi_Regions_Cities[المنطقة الإدارية],"")</f>
        <v>المنطقة الشرقية</v>
      </c>
      <c r="E34" s="58">
        <f>_xlfn.XLOOKUP(Facilities_Masjids[[#This Row],[المدينة]],Saudi_Regions_Cities[المدينة],Saudi_Regions_Cities[رمز المدينة],"")</f>
        <v>3001</v>
      </c>
      <c r="F34" s="43" t="s">
        <v>70</v>
      </c>
      <c r="G34" s="43" t="s">
        <v>77</v>
      </c>
      <c r="H34" s="44">
        <f>_xlfn.XLOOKUP(Facilities_Masjids[[#This Row],[تصنيف المرفق]],Facility_Classifications[تصنيف المرفق],Facility_Classifications[رمز تصنيف المرفق],"")</f>
        <v>3</v>
      </c>
      <c r="I34" s="43" t="s">
        <v>133</v>
      </c>
      <c r="J34" s="43">
        <f>VALUE(
Facilities_Masjids[[#This Row],[رمز تصنيف المرفق]]&amp;
TEXT(
IF(Facilities_Masjids[[#This Row],[المساحة الكلية للمرفق (م2)]]="",
COUNTA(Facilities_Masjids[المساحة الكلية للمرفق (م2)])+COUNTBLANK(INDEX(Facilities_Masjids[المساحة الكلية للمرفق (م2)],1):INDEX(Facilities_Masjids[المساحة الكلية للمرفق (م2)],ROW()-ROW(Facilities_Masjids[[#Headers],[رمز المرفق]]))),
IFERROR(
IF(COUNTIF(Facilities_Masjids[المساحة الكلية للمرفق (م2)],Facilities_Masjids[[#This Row],[المساحة الكلية للمرفق (م2)]])=1,
_xlfn.RANK.EQ(Facilities_Masjids[[#This Row],[المساحة الكلية للمرفق (م2)]],Facilities_Masjids[المساحة الكلية للمرفق (م2)]),
_xlfn.RANK.EQ(Facilities_Masjids[[#This Row],[المساحة الكلية للمرفق (م2)]],Facilities_Masjids[المساحة الكلية للمرفق (م2)])+
COUNTIF(INDEX(Facilities_Masjids[المساحة الكلية للمرفق (م2)],1):INDEX(Facilities_Masjids[المساحة الكلية للمرفق (م2)],ROW()-ROW(Facilities_Masjids[[#Headers],[رمز المرفق]])),Facilities_Masjids[[#This Row],[المساحة الكلية للمرفق (م2)]])-1),
0)),
"00"))</f>
        <v>325</v>
      </c>
      <c r="K34" s="45" t="s">
        <v>176</v>
      </c>
      <c r="L34" s="46" t="s">
        <v>177</v>
      </c>
      <c r="M34" s="187"/>
      <c r="N34" s="59" t="s">
        <v>178</v>
      </c>
      <c r="O34" s="48">
        <v>26.400527508368601</v>
      </c>
      <c r="P34" s="49">
        <v>50.050226617481101</v>
      </c>
      <c r="Q34" s="50">
        <v>140</v>
      </c>
      <c r="R34" s="50">
        <v>140</v>
      </c>
      <c r="S34" s="51">
        <v>0</v>
      </c>
      <c r="T34" s="52">
        <v>0</v>
      </c>
      <c r="U34" s="50">
        <v>2</v>
      </c>
      <c r="V34" s="51">
        <v>0</v>
      </c>
      <c r="W34" s="50">
        <f>SUM(Facilities_Masjids[[#This Row],[عدد صفوف الرجال]:[عدد صفوف النساء]])</f>
        <v>11</v>
      </c>
      <c r="X34" s="50">
        <v>11</v>
      </c>
      <c r="Y34" s="51">
        <v>0</v>
      </c>
      <c r="Z34" s="50">
        <f>SUM(Facilities_Masjids[[#This Row],[سعة المرفق من المصلين]:[سعة المرفق من المصليات]])</f>
        <v>176</v>
      </c>
      <c r="AA34" s="50">
        <v>176</v>
      </c>
      <c r="AB34" s="51">
        <v>0</v>
      </c>
      <c r="AC34" s="50">
        <f>SUM(Facilities_Masjids[[#This Row],[إجمالي عدد دورات مياه الرجال]],Facilities_Masjids[[#This Row],[إجمالي عدد دورات مياه النساء]])</f>
        <v>0</v>
      </c>
      <c r="AD34" s="50">
        <f>SUM(Facilities_Masjids[[#This Row],[عدد دورات مياه المعاقين من الرجال]],Facilities_Masjids[[#This Row],[عدد دورات مياه المعاقات من النساء]])</f>
        <v>0</v>
      </c>
      <c r="AE34" s="52">
        <v>0</v>
      </c>
      <c r="AF34" s="51">
        <v>0</v>
      </c>
      <c r="AG34" s="50">
        <v>0</v>
      </c>
      <c r="AH34" s="51">
        <v>0</v>
      </c>
      <c r="AI34" s="50">
        <f>SUM(Facilities_Masjids[[#This Row],[عدد مواضئ الرجال]:[عدد مواضئ النساء]])</f>
        <v>0</v>
      </c>
      <c r="AJ34" s="50">
        <v>0</v>
      </c>
      <c r="AK34" s="51">
        <v>0</v>
      </c>
      <c r="AL34" s="50">
        <f>SUM(Facilities_Masjids[[#This Row],[عدد مصاحف الرجال]:[عدد مصاحف النساء]])</f>
        <v>30</v>
      </c>
      <c r="AM34" s="50">
        <v>30</v>
      </c>
      <c r="AN34" s="51">
        <v>0</v>
      </c>
      <c r="AO34" s="50">
        <f>SUM(Facilities_Masjids[[#This Row],[عدد حاملات المصاحف للرجال]:[عدد حاملات المصاحف للنساء]])</f>
        <v>2</v>
      </c>
      <c r="AP34" s="50">
        <v>2</v>
      </c>
      <c r="AQ34" s="51">
        <v>0</v>
      </c>
      <c r="AR34" s="50">
        <f>SUM(Facilities_Masjids[[#This Row],[عدد دواليب المصاحف للرجال]:[عدد دواليب المصاحف للنساء]])</f>
        <v>4</v>
      </c>
      <c r="AS34" s="50">
        <v>4</v>
      </c>
      <c r="AT34" s="51">
        <v>0</v>
      </c>
      <c r="AU34" s="50">
        <f>SUM(Facilities_Masjids[[#This Row],[عدد الكراسي للرجال]:[عدد الكراسي للنساء]])</f>
        <v>0</v>
      </c>
      <c r="AV34" s="50">
        <v>0</v>
      </c>
      <c r="AW34" s="51">
        <v>0</v>
      </c>
      <c r="AX34" s="53" t="b">
        <v>0</v>
      </c>
      <c r="AY34" s="53" t="b">
        <v>0</v>
      </c>
      <c r="AZ34" s="53" t="b">
        <v>0</v>
      </c>
      <c r="BA34" s="57"/>
    </row>
    <row r="35" spans="2:53" x14ac:dyDescent="0.45">
      <c r="B35" s="57"/>
      <c r="C35" s="58">
        <f>ROW()-ROW(Facilities_Masjids[[#Headers],[م]])</f>
        <v>26</v>
      </c>
      <c r="D35" s="58" t="str">
        <f>_xlfn.XLOOKUP(Facilities_Masjids[[#This Row],[المدينة]],Saudi_Regions_Cities[المدينة],Saudi_Regions_Cities[المنطقة الإدارية],"")</f>
        <v>المنطقة الشرقية</v>
      </c>
      <c r="E35" s="58">
        <f>_xlfn.XLOOKUP(Facilities_Masjids[[#This Row],[المدينة]],Saudi_Regions_Cities[المدينة],Saudi_Regions_Cities[رمز المدينة],"")</f>
        <v>3001</v>
      </c>
      <c r="F35" s="43" t="s">
        <v>70</v>
      </c>
      <c r="G35" s="43" t="s">
        <v>77</v>
      </c>
      <c r="H35" s="44">
        <f>_xlfn.XLOOKUP(Facilities_Masjids[[#This Row],[تصنيف المرفق]],Facility_Classifications[تصنيف المرفق],Facility_Classifications[رمز تصنيف المرفق],"")</f>
        <v>3</v>
      </c>
      <c r="I35" s="43" t="s">
        <v>133</v>
      </c>
      <c r="J35" s="43">
        <f>VALUE(
Facilities_Masjids[[#This Row],[رمز تصنيف المرفق]]&amp;
TEXT(
IF(Facilities_Masjids[[#This Row],[المساحة الكلية للمرفق (م2)]]="",
COUNTA(Facilities_Masjids[المساحة الكلية للمرفق (م2)])+COUNTBLANK(INDEX(Facilities_Masjids[المساحة الكلية للمرفق (م2)],1):INDEX(Facilities_Masjids[المساحة الكلية للمرفق (م2)],ROW()-ROW(Facilities_Masjids[[#Headers],[رمز المرفق]]))),
IFERROR(
IF(COUNTIF(Facilities_Masjids[المساحة الكلية للمرفق (م2)],Facilities_Masjids[[#This Row],[المساحة الكلية للمرفق (م2)]])=1,
_xlfn.RANK.EQ(Facilities_Masjids[[#This Row],[المساحة الكلية للمرفق (م2)]],Facilities_Masjids[المساحة الكلية للمرفق (م2)]),
_xlfn.RANK.EQ(Facilities_Masjids[[#This Row],[المساحة الكلية للمرفق (م2)]],Facilities_Masjids[المساحة الكلية للمرفق (م2)])+
COUNTIF(INDEX(Facilities_Masjids[المساحة الكلية للمرفق (م2)],1):INDEX(Facilities_Masjids[المساحة الكلية للمرفق (م2)],ROW()-ROW(Facilities_Masjids[[#Headers],[رمز المرفق]])),Facilities_Masjids[[#This Row],[المساحة الكلية للمرفق (م2)]])-1),
0)),
"00"))</f>
        <v>319</v>
      </c>
      <c r="K35" s="45" t="s">
        <v>179</v>
      </c>
      <c r="L35" s="46" t="s">
        <v>180</v>
      </c>
      <c r="M35" s="187"/>
      <c r="N35" s="59" t="s">
        <v>181</v>
      </c>
      <c r="O35" s="48">
        <v>26.400899767897599</v>
      </c>
      <c r="P35" s="49">
        <v>50.051424247881599</v>
      </c>
      <c r="Q35" s="50">
        <v>192</v>
      </c>
      <c r="R35" s="50">
        <v>192</v>
      </c>
      <c r="S35" s="51">
        <v>0</v>
      </c>
      <c r="T35" s="52">
        <v>0</v>
      </c>
      <c r="U35" s="50">
        <v>1</v>
      </c>
      <c r="V35" s="51">
        <v>0</v>
      </c>
      <c r="W35" s="50">
        <f>SUM(Facilities_Masjids[[#This Row],[عدد صفوف الرجال]:[عدد صفوف النساء]])</f>
        <v>7</v>
      </c>
      <c r="X35" s="50">
        <v>7</v>
      </c>
      <c r="Y35" s="51">
        <v>0</v>
      </c>
      <c r="Z35" s="50">
        <f>SUM(Facilities_Masjids[[#This Row],[سعة المرفق من المصلين]:[سعة المرفق من المصليات]])</f>
        <v>224</v>
      </c>
      <c r="AA35" s="50">
        <v>224</v>
      </c>
      <c r="AB35" s="51">
        <v>0</v>
      </c>
      <c r="AC35" s="50">
        <f>SUM(Facilities_Masjids[[#This Row],[إجمالي عدد دورات مياه الرجال]],Facilities_Masjids[[#This Row],[إجمالي عدد دورات مياه النساء]])</f>
        <v>4</v>
      </c>
      <c r="AD35" s="50">
        <f>SUM(Facilities_Masjids[[#This Row],[عدد دورات مياه المعاقين من الرجال]],Facilities_Masjids[[#This Row],[عدد دورات مياه المعاقات من النساء]])</f>
        <v>0</v>
      </c>
      <c r="AE35" s="52">
        <v>4</v>
      </c>
      <c r="AF35" s="51">
        <v>0</v>
      </c>
      <c r="AG35" s="50">
        <v>0</v>
      </c>
      <c r="AH35" s="51">
        <v>0</v>
      </c>
      <c r="AI35" s="50">
        <f>SUM(Facilities_Masjids[[#This Row],[عدد مواضئ الرجال]:[عدد مواضئ النساء]])</f>
        <v>8</v>
      </c>
      <c r="AJ35" s="50">
        <v>8</v>
      </c>
      <c r="AK35" s="51">
        <v>0</v>
      </c>
      <c r="AL35" s="50">
        <f>SUM(Facilities_Masjids[[#This Row],[عدد مصاحف الرجال]:[عدد مصاحف النساء]])</f>
        <v>30</v>
      </c>
      <c r="AM35" s="50">
        <v>30</v>
      </c>
      <c r="AN35" s="51">
        <v>0</v>
      </c>
      <c r="AO35" s="50">
        <f>SUM(Facilities_Masjids[[#This Row],[عدد حاملات المصاحف للرجال]:[عدد حاملات المصاحف للنساء]])</f>
        <v>7</v>
      </c>
      <c r="AP35" s="50">
        <v>7</v>
      </c>
      <c r="AQ35" s="51">
        <v>0</v>
      </c>
      <c r="AR35" s="50">
        <f>SUM(Facilities_Masjids[[#This Row],[عدد دواليب المصاحف للرجال]:[عدد دواليب المصاحف للنساء]])</f>
        <v>3</v>
      </c>
      <c r="AS35" s="50">
        <v>3</v>
      </c>
      <c r="AT35" s="51">
        <v>0</v>
      </c>
      <c r="AU35" s="50">
        <f>SUM(Facilities_Masjids[[#This Row],[عدد الكراسي للرجال]:[عدد الكراسي للنساء]])</f>
        <v>0</v>
      </c>
      <c r="AV35" s="50">
        <v>0</v>
      </c>
      <c r="AW35" s="51">
        <v>0</v>
      </c>
      <c r="AX35" s="53" t="b">
        <v>0</v>
      </c>
      <c r="AY35" s="53" t="b">
        <v>0</v>
      </c>
      <c r="AZ35" s="53" t="b">
        <v>0</v>
      </c>
      <c r="BA35" s="57"/>
    </row>
    <row r="36" spans="2:53" x14ac:dyDescent="0.45">
      <c r="B36" s="57"/>
      <c r="C36" s="58">
        <f>ROW()-ROW(Facilities_Masjids[[#Headers],[م]])</f>
        <v>27</v>
      </c>
      <c r="D36" s="58" t="str">
        <f>_xlfn.XLOOKUP(Facilities_Masjids[[#This Row],[المدينة]],Saudi_Regions_Cities[المدينة],Saudi_Regions_Cities[المنطقة الإدارية],"")</f>
        <v>المنطقة الشرقية</v>
      </c>
      <c r="E36" s="58">
        <f>_xlfn.XLOOKUP(Facilities_Masjids[[#This Row],[المدينة]],Saudi_Regions_Cities[المدينة],Saudi_Regions_Cities[رمز المدينة],"")</f>
        <v>3003</v>
      </c>
      <c r="F36" s="43" t="s">
        <v>92</v>
      </c>
      <c r="G36" s="43" t="s">
        <v>93</v>
      </c>
      <c r="H36" s="44">
        <f>_xlfn.XLOOKUP(Facilities_Masjids[[#This Row],[تصنيف المرفق]],Facility_Classifications[تصنيف المرفق],Facility_Classifications[رمز تصنيف المرفق],"")</f>
        <v>3</v>
      </c>
      <c r="I36" s="43" t="s">
        <v>133</v>
      </c>
      <c r="J36" s="43">
        <f>VALUE(
Facilities_Masjids[[#This Row],[رمز تصنيف المرفق]]&amp;
TEXT(
IF(Facilities_Masjids[[#This Row],[المساحة الكلية للمرفق (م2)]]="",
COUNTA(Facilities_Masjids[المساحة الكلية للمرفق (م2)])+COUNTBLANK(INDEX(Facilities_Masjids[المساحة الكلية للمرفق (م2)],1):INDEX(Facilities_Masjids[المساحة الكلية للمرفق (م2)],ROW()-ROW(Facilities_Masjids[[#Headers],[رمز المرفق]]))),
IFERROR(
IF(COUNTIF(Facilities_Masjids[المساحة الكلية للمرفق (م2)],Facilities_Masjids[[#This Row],[المساحة الكلية للمرفق (م2)]])=1,
_xlfn.RANK.EQ(Facilities_Masjids[[#This Row],[المساحة الكلية للمرفق (م2)]],Facilities_Masjids[المساحة الكلية للمرفق (م2)]),
_xlfn.RANK.EQ(Facilities_Masjids[[#This Row],[المساحة الكلية للمرفق (م2)]],Facilities_Masjids[المساحة الكلية للمرفق (م2)])+
COUNTIF(INDEX(Facilities_Masjids[المساحة الكلية للمرفق (م2)],1):INDEX(Facilities_Masjids[المساحة الكلية للمرفق (م2)],ROW()-ROW(Facilities_Masjids[[#Headers],[رمز المرفق]])),Facilities_Masjids[[#This Row],[المساحة الكلية للمرفق (م2)]])-1),
0)),
"00"))</f>
        <v>320</v>
      </c>
      <c r="K36" s="45" t="s">
        <v>182</v>
      </c>
      <c r="L36" s="46" t="s">
        <v>183</v>
      </c>
      <c r="M36" s="187"/>
      <c r="N36" s="59" t="s">
        <v>184</v>
      </c>
      <c r="O36" s="48">
        <v>26.318438</v>
      </c>
      <c r="P36" s="49">
        <v>50.215865000000001</v>
      </c>
      <c r="Q36" s="50">
        <v>180</v>
      </c>
      <c r="R36" s="50">
        <v>180</v>
      </c>
      <c r="S36" s="51">
        <v>0</v>
      </c>
      <c r="T36" s="52">
        <v>0</v>
      </c>
      <c r="U36" s="50">
        <v>1</v>
      </c>
      <c r="V36" s="51">
        <v>0</v>
      </c>
      <c r="W36" s="50">
        <f>SUM(Facilities_Masjids[[#This Row],[عدد صفوف الرجال]:[عدد صفوف النساء]])</f>
        <v>8</v>
      </c>
      <c r="X36" s="50">
        <v>8</v>
      </c>
      <c r="Y36" s="51">
        <v>0</v>
      </c>
      <c r="Z36" s="50">
        <f>SUM(Facilities_Masjids[[#This Row],[سعة المرفق من المصلين]:[سعة المرفق من المصليات]])</f>
        <v>192</v>
      </c>
      <c r="AA36" s="50">
        <v>192</v>
      </c>
      <c r="AB36" s="51">
        <v>0</v>
      </c>
      <c r="AC36" s="50">
        <f>SUM(Facilities_Masjids[[#This Row],[إجمالي عدد دورات مياه الرجال]],Facilities_Masjids[[#This Row],[إجمالي عدد دورات مياه النساء]])</f>
        <v>0</v>
      </c>
      <c r="AD36" s="50">
        <f>SUM(Facilities_Masjids[[#This Row],[عدد دورات مياه المعاقين من الرجال]],Facilities_Masjids[[#This Row],[عدد دورات مياه المعاقات من النساء]])</f>
        <v>0</v>
      </c>
      <c r="AE36" s="52">
        <v>0</v>
      </c>
      <c r="AF36" s="51">
        <v>0</v>
      </c>
      <c r="AG36" s="50">
        <v>0</v>
      </c>
      <c r="AH36" s="51">
        <v>0</v>
      </c>
      <c r="AI36" s="50">
        <f>SUM(Facilities_Masjids[[#This Row],[عدد مواضئ الرجال]:[عدد مواضئ النساء]])</f>
        <v>4</v>
      </c>
      <c r="AJ36" s="50">
        <v>4</v>
      </c>
      <c r="AK36" s="51">
        <v>0</v>
      </c>
      <c r="AL36" s="50">
        <f>SUM(Facilities_Masjids[[#This Row],[عدد مصاحف الرجال]:[عدد مصاحف النساء]])</f>
        <v>45</v>
      </c>
      <c r="AM36" s="50">
        <v>45</v>
      </c>
      <c r="AN36" s="51">
        <v>0</v>
      </c>
      <c r="AO36" s="50">
        <f>SUM(Facilities_Masjids[[#This Row],[عدد حاملات المصاحف للرجال]:[عدد حاملات المصاحف للنساء]])</f>
        <v>3</v>
      </c>
      <c r="AP36" s="50">
        <v>3</v>
      </c>
      <c r="AQ36" s="51">
        <v>0</v>
      </c>
      <c r="AR36" s="50">
        <f>SUM(Facilities_Masjids[[#This Row],[عدد دواليب المصاحف للرجال]:[عدد دواليب المصاحف للنساء]])</f>
        <v>9</v>
      </c>
      <c r="AS36" s="50">
        <v>9</v>
      </c>
      <c r="AT36" s="51">
        <v>0</v>
      </c>
      <c r="AU36" s="50">
        <f>SUM(Facilities_Masjids[[#This Row],[عدد الكراسي للرجال]:[عدد الكراسي للنساء]])</f>
        <v>13</v>
      </c>
      <c r="AV36" s="50">
        <v>13</v>
      </c>
      <c r="AW36" s="51">
        <v>0</v>
      </c>
      <c r="AX36" s="53" t="b">
        <v>0</v>
      </c>
      <c r="AY36" s="53" t="b">
        <v>0</v>
      </c>
      <c r="AZ36" s="53" t="b">
        <v>0</v>
      </c>
      <c r="BA36" s="57"/>
    </row>
    <row r="37" spans="2:53" x14ac:dyDescent="0.45">
      <c r="B37" s="57"/>
      <c r="C37" s="58">
        <f>ROW()-ROW(Facilities_Masjids[[#Headers],[م]])</f>
        <v>28</v>
      </c>
      <c r="D37" s="58" t="str">
        <f>_xlfn.XLOOKUP(Facilities_Masjids[[#This Row],[المدينة]],Saudi_Regions_Cities[المدينة],Saudi_Regions_Cities[المنطقة الإدارية],"")</f>
        <v>المنطقة الشرقية</v>
      </c>
      <c r="E37" s="58">
        <f>_xlfn.XLOOKUP(Facilities_Masjids[[#This Row],[المدينة]],Saudi_Regions_Cities[المدينة],Saudi_Regions_Cities[رمز المدينة],"")</f>
        <v>3005</v>
      </c>
      <c r="F37" s="43" t="s">
        <v>117</v>
      </c>
      <c r="G37" s="43" t="s">
        <v>185</v>
      </c>
      <c r="H37" s="44">
        <f>_xlfn.XLOOKUP(Facilities_Masjids[[#This Row],[تصنيف المرفق]],Facility_Classifications[تصنيف المرفق],Facility_Classifications[رمز تصنيف المرفق],"")</f>
        <v>3</v>
      </c>
      <c r="I37" s="43" t="s">
        <v>133</v>
      </c>
      <c r="J37" s="43">
        <f>VALUE(
Facilities_Masjids[[#This Row],[رمز تصنيف المرفق]]&amp;
TEXT(
IF(Facilities_Masjids[[#This Row],[المساحة الكلية للمرفق (م2)]]="",
COUNTA(Facilities_Masjids[المساحة الكلية للمرفق (م2)])+COUNTBLANK(INDEX(Facilities_Masjids[المساحة الكلية للمرفق (م2)],1):INDEX(Facilities_Masjids[المساحة الكلية للمرفق (م2)],ROW()-ROW(Facilities_Masjids[[#Headers],[رمز المرفق]]))),
IFERROR(
IF(COUNTIF(Facilities_Masjids[المساحة الكلية للمرفق (م2)],Facilities_Masjids[[#This Row],[المساحة الكلية للمرفق (م2)]])=1,
_xlfn.RANK.EQ(Facilities_Masjids[[#This Row],[المساحة الكلية للمرفق (م2)]],Facilities_Masjids[المساحة الكلية للمرفق (م2)]),
_xlfn.RANK.EQ(Facilities_Masjids[[#This Row],[المساحة الكلية للمرفق (م2)]],Facilities_Masjids[المساحة الكلية للمرفق (م2)])+
COUNTIF(INDEX(Facilities_Masjids[المساحة الكلية للمرفق (م2)],1):INDEX(Facilities_Masjids[المساحة الكلية للمرفق (م2)],ROW()-ROW(Facilities_Masjids[[#Headers],[رمز المرفق]])),Facilities_Masjids[[#This Row],[المساحة الكلية للمرفق (م2)]])-1),
0)),
"00"))</f>
        <v>315</v>
      </c>
      <c r="K37" s="45" t="s">
        <v>186</v>
      </c>
      <c r="L37" s="46" t="s">
        <v>187</v>
      </c>
      <c r="M37" s="187"/>
      <c r="N37" s="59" t="s">
        <v>188</v>
      </c>
      <c r="O37" s="48">
        <v>26.981070188132598</v>
      </c>
      <c r="P37" s="49">
        <v>49.648083615343502</v>
      </c>
      <c r="Q37" s="50">
        <v>240</v>
      </c>
      <c r="R37" s="50">
        <v>130</v>
      </c>
      <c r="S37" s="51">
        <v>86</v>
      </c>
      <c r="T37" s="52">
        <v>0</v>
      </c>
      <c r="U37" s="50">
        <v>2</v>
      </c>
      <c r="V37" s="51">
        <v>1</v>
      </c>
      <c r="W37" s="50">
        <f>SUM(Facilities_Masjids[[#This Row],[عدد صفوف الرجال]:[عدد صفوف النساء]])</f>
        <v>16</v>
      </c>
      <c r="X37" s="50">
        <v>10</v>
      </c>
      <c r="Y37" s="51">
        <v>6</v>
      </c>
      <c r="Z37" s="50">
        <f>SUM(Facilities_Masjids[[#This Row],[سعة المرفق من المصلين]:[سعة المرفق من المصليات]])</f>
        <v>303</v>
      </c>
      <c r="AA37" s="50">
        <v>210</v>
      </c>
      <c r="AB37" s="51">
        <v>93</v>
      </c>
      <c r="AC37" s="50">
        <f>SUM(Facilities_Masjids[[#This Row],[إجمالي عدد دورات مياه الرجال]],Facilities_Masjids[[#This Row],[إجمالي عدد دورات مياه النساء]])</f>
        <v>8</v>
      </c>
      <c r="AD37" s="50">
        <f>SUM(Facilities_Masjids[[#This Row],[عدد دورات مياه المعاقين من الرجال]],Facilities_Masjids[[#This Row],[عدد دورات مياه المعاقات من النساء]])</f>
        <v>0</v>
      </c>
      <c r="AE37" s="52">
        <v>4</v>
      </c>
      <c r="AF37" s="51">
        <v>0</v>
      </c>
      <c r="AG37" s="50">
        <v>4</v>
      </c>
      <c r="AH37" s="51">
        <v>0</v>
      </c>
      <c r="AI37" s="50">
        <f>SUM(Facilities_Masjids[[#This Row],[عدد مواضئ الرجال]:[عدد مواضئ النساء]])</f>
        <v>8</v>
      </c>
      <c r="AJ37" s="50">
        <v>4</v>
      </c>
      <c r="AK37" s="51">
        <v>4</v>
      </c>
      <c r="AL37" s="50">
        <f>SUM(Facilities_Masjids[[#This Row],[عدد مصاحف الرجال]:[عدد مصاحف النساء]])</f>
        <v>38</v>
      </c>
      <c r="AM37" s="50">
        <v>29</v>
      </c>
      <c r="AN37" s="51">
        <v>9</v>
      </c>
      <c r="AO37" s="50">
        <f>SUM(Facilities_Masjids[[#This Row],[عدد حاملات المصاحف للرجال]:[عدد حاملات المصاحف للنساء]])</f>
        <v>1</v>
      </c>
      <c r="AP37" s="50">
        <v>0</v>
      </c>
      <c r="AQ37" s="51">
        <v>1</v>
      </c>
      <c r="AR37" s="50">
        <f>SUM(Facilities_Masjids[[#This Row],[عدد دواليب المصاحف للرجال]:[عدد دواليب المصاحف للنساء]])</f>
        <v>1</v>
      </c>
      <c r="AS37" s="50">
        <v>1</v>
      </c>
      <c r="AT37" s="51">
        <v>0</v>
      </c>
      <c r="AU37" s="50">
        <f>SUM(Facilities_Masjids[[#This Row],[عدد الكراسي للرجال]:[عدد الكراسي للنساء]])</f>
        <v>3</v>
      </c>
      <c r="AV37" s="50">
        <v>2</v>
      </c>
      <c r="AW37" s="51">
        <v>1</v>
      </c>
      <c r="AX37" s="53" t="b">
        <v>0</v>
      </c>
      <c r="AY37" s="53" t="b">
        <v>0</v>
      </c>
      <c r="AZ37" s="53" t="b">
        <v>0</v>
      </c>
      <c r="BA37" s="57"/>
    </row>
    <row r="38" spans="2:53" x14ac:dyDescent="0.45">
      <c r="B38" s="57"/>
      <c r="C38" s="58">
        <f>ROW()-ROW(Facilities_Masjids[[#Headers],[م]])</f>
        <v>29</v>
      </c>
      <c r="D38" s="58" t="str">
        <f>_xlfn.XLOOKUP(Facilities_Masjids[[#This Row],[المدينة]],Saudi_Regions_Cities[المدينة],Saudi_Regions_Cities[المنطقة الإدارية],"")</f>
        <v>المنطقة الشرقية</v>
      </c>
      <c r="E38" s="58">
        <f>_xlfn.XLOOKUP(Facilities_Masjids[[#This Row],[المدينة]],Saudi_Regions_Cities[المدينة],Saudi_Regions_Cities[رمز المدينة],"")</f>
        <v>3005</v>
      </c>
      <c r="F38" s="43" t="s">
        <v>117</v>
      </c>
      <c r="G38" s="43" t="s">
        <v>185</v>
      </c>
      <c r="H38" s="44">
        <f>_xlfn.XLOOKUP(Facilities_Masjids[[#This Row],[تصنيف المرفق]],Facility_Classifications[تصنيف المرفق],Facility_Classifications[رمز تصنيف المرفق],"")</f>
        <v>2</v>
      </c>
      <c r="I38" s="43" t="s">
        <v>94</v>
      </c>
      <c r="J38" s="43">
        <f>VALUE(
Facilities_Masjids[[#This Row],[رمز تصنيف المرفق]]&amp;
TEXT(
IF(Facilities_Masjids[[#This Row],[المساحة الكلية للمرفق (م2)]]="",
COUNTA(Facilities_Masjids[المساحة الكلية للمرفق (م2)])+COUNTBLANK(INDEX(Facilities_Masjids[المساحة الكلية للمرفق (م2)],1):INDEX(Facilities_Masjids[المساحة الكلية للمرفق (م2)],ROW()-ROW(Facilities_Masjids[[#Headers],[رمز المرفق]]))),
IFERROR(
IF(COUNTIF(Facilities_Masjids[المساحة الكلية للمرفق (م2)],Facilities_Masjids[[#This Row],[المساحة الكلية للمرفق (م2)]])=1,
_xlfn.RANK.EQ(Facilities_Masjids[[#This Row],[المساحة الكلية للمرفق (م2)]],Facilities_Masjids[المساحة الكلية للمرفق (م2)]),
_xlfn.RANK.EQ(Facilities_Masjids[[#This Row],[المساحة الكلية للمرفق (م2)]],Facilities_Masjids[المساحة الكلية للمرفق (م2)])+
COUNTIF(INDEX(Facilities_Masjids[المساحة الكلية للمرفق (م2)],1):INDEX(Facilities_Masjids[المساحة الكلية للمرفق (م2)],ROW()-ROW(Facilities_Masjids[[#Headers],[رمز المرفق]])),Facilities_Masjids[[#This Row],[المساحة الكلية للمرفق (م2)]])-1),
0)),
"00"))</f>
        <v>228</v>
      </c>
      <c r="K38" s="45" t="s">
        <v>189</v>
      </c>
      <c r="L38" s="46" t="s">
        <v>190</v>
      </c>
      <c r="M38" s="187"/>
      <c r="N38" s="59" t="s">
        <v>191</v>
      </c>
      <c r="O38" s="48">
        <v>26.969456547428202</v>
      </c>
      <c r="P38" s="49">
        <v>49.626066917791</v>
      </c>
      <c r="Q38" s="50">
        <v>45</v>
      </c>
      <c r="R38" s="50">
        <v>28</v>
      </c>
      <c r="S38" s="51">
        <v>0</v>
      </c>
      <c r="T38" s="52">
        <v>0</v>
      </c>
      <c r="U38" s="50">
        <v>2</v>
      </c>
      <c r="V38" s="51">
        <v>5</v>
      </c>
      <c r="W38" s="50">
        <f>SUM(Facilities_Masjids[[#This Row],[عدد صفوف الرجال]:[عدد صفوف النساء]])</f>
        <v>2</v>
      </c>
      <c r="X38" s="50">
        <v>2</v>
      </c>
      <c r="Y38" s="51">
        <v>0</v>
      </c>
      <c r="Z38" s="50">
        <f>SUM(Facilities_Masjids[[#This Row],[سعة المرفق من المصلين]:[سعة المرفق من المصليات]])</f>
        <v>42</v>
      </c>
      <c r="AA38" s="50">
        <v>42</v>
      </c>
      <c r="AB38" s="51">
        <v>0</v>
      </c>
      <c r="AC38" s="50">
        <f>SUM(Facilities_Masjids[[#This Row],[إجمالي عدد دورات مياه الرجال]],Facilities_Masjids[[#This Row],[إجمالي عدد دورات مياه النساء]])</f>
        <v>3</v>
      </c>
      <c r="AD38" s="50">
        <f>SUM(Facilities_Masjids[[#This Row],[عدد دورات مياه المعاقين من الرجال]],Facilities_Masjids[[#This Row],[عدد دورات مياه المعاقات من النساء]])</f>
        <v>0</v>
      </c>
      <c r="AE38" s="52">
        <v>3</v>
      </c>
      <c r="AF38" s="51">
        <v>0</v>
      </c>
      <c r="AG38" s="50">
        <v>0</v>
      </c>
      <c r="AH38" s="51">
        <v>0</v>
      </c>
      <c r="AI38" s="50">
        <f>SUM(Facilities_Masjids[[#This Row],[عدد مواضئ الرجال]:[عدد مواضئ النساء]])</f>
        <v>4</v>
      </c>
      <c r="AJ38" s="50">
        <v>4</v>
      </c>
      <c r="AK38" s="51">
        <v>0</v>
      </c>
      <c r="AL38" s="50">
        <f>SUM(Facilities_Masjids[[#This Row],[عدد مصاحف الرجال]:[عدد مصاحف النساء]])</f>
        <v>13</v>
      </c>
      <c r="AM38" s="50">
        <v>13</v>
      </c>
      <c r="AN38" s="51">
        <v>0</v>
      </c>
      <c r="AO38" s="50">
        <f>SUM(Facilities_Masjids[[#This Row],[عدد حاملات المصاحف للرجال]:[عدد حاملات المصاحف للنساء]])</f>
        <v>2</v>
      </c>
      <c r="AP38" s="50">
        <v>2</v>
      </c>
      <c r="AQ38" s="51">
        <v>0</v>
      </c>
      <c r="AR38" s="50">
        <f>SUM(Facilities_Masjids[[#This Row],[عدد دواليب المصاحف للرجال]:[عدد دواليب المصاحف للنساء]])</f>
        <v>1</v>
      </c>
      <c r="AS38" s="50">
        <v>1</v>
      </c>
      <c r="AT38" s="51">
        <v>0</v>
      </c>
      <c r="AU38" s="50">
        <f>SUM(Facilities_Masjids[[#This Row],[عدد الكراسي للرجال]:[عدد الكراسي للنساء]])</f>
        <v>0</v>
      </c>
      <c r="AV38" s="50">
        <v>0</v>
      </c>
      <c r="AW38" s="51">
        <v>0</v>
      </c>
      <c r="AX38" s="53" t="b">
        <v>0</v>
      </c>
      <c r="AY38" s="53" t="b">
        <v>0</v>
      </c>
      <c r="AZ38" s="53" t="b">
        <v>0</v>
      </c>
      <c r="BA38" s="57"/>
    </row>
    <row r="39" spans="2:53" x14ac:dyDescent="0.45">
      <c r="B39" s="57"/>
      <c r="C39" s="58">
        <f>ROW()-ROW(Facilities_Masjids[[#Headers],[م]])</f>
        <v>30</v>
      </c>
      <c r="D39" s="58" t="str">
        <f>_xlfn.XLOOKUP(Facilities_Masjids[[#This Row],[المدينة]],Saudi_Regions_Cities[المدينة],Saudi_Regions_Cities[المنطقة الإدارية],"")</f>
        <v>المنطقة الشرقية</v>
      </c>
      <c r="E39" s="58">
        <f>_xlfn.XLOOKUP(Facilities_Masjids[[#This Row],[المدينة]],Saudi_Regions_Cities[المدينة],Saudi_Regions_Cities[رمز المدينة],"")</f>
        <v>3058</v>
      </c>
      <c r="F39" s="43" t="s">
        <v>192</v>
      </c>
      <c r="G39" s="43" t="s">
        <v>193</v>
      </c>
      <c r="H39" s="44">
        <f>_xlfn.XLOOKUP(Facilities_Masjids[[#This Row],[تصنيف المرفق]],Facility_Classifications[تصنيف المرفق],Facility_Classifications[رمز تصنيف المرفق],"")</f>
        <v>2</v>
      </c>
      <c r="I39" s="43" t="s">
        <v>94</v>
      </c>
      <c r="J39" s="43">
        <f>VALUE(
Facilities_Masjids[[#This Row],[رمز تصنيف المرفق]]&amp;
TEXT(
IF(Facilities_Masjids[[#This Row],[المساحة الكلية للمرفق (م2)]]="",
COUNTA(Facilities_Masjids[المساحة الكلية للمرفق (م2)])+COUNTBLANK(INDEX(Facilities_Masjids[المساحة الكلية للمرفق (م2)],1):INDEX(Facilities_Masjids[المساحة الكلية للمرفق (م2)],ROW()-ROW(Facilities_Masjids[[#Headers],[رمز المرفق]]))),
IFERROR(
IF(COUNTIF(Facilities_Masjids[المساحة الكلية للمرفق (م2)],Facilities_Masjids[[#This Row],[المساحة الكلية للمرفق (م2)]])=1,
_xlfn.RANK.EQ(Facilities_Masjids[[#This Row],[المساحة الكلية للمرفق (م2)]],Facilities_Masjids[المساحة الكلية للمرفق (م2)]),
_xlfn.RANK.EQ(Facilities_Masjids[[#This Row],[المساحة الكلية للمرفق (م2)]],Facilities_Masjids[المساحة الكلية للمرفق (م2)])+
COUNTIF(INDEX(Facilities_Masjids[المساحة الكلية للمرفق (م2)],1):INDEX(Facilities_Masjids[المساحة الكلية للمرفق (م2)],ROW()-ROW(Facilities_Masjids[[#Headers],[رمز المرفق]])),Facilities_Masjids[[#This Row],[المساحة الكلية للمرفق (م2)]])-1),
0)),
"00"))</f>
        <v>211</v>
      </c>
      <c r="K39" s="45" t="s">
        <v>194</v>
      </c>
      <c r="L39" s="46" t="s">
        <v>195</v>
      </c>
      <c r="M39" s="187"/>
      <c r="N39" s="59" t="s">
        <v>196</v>
      </c>
      <c r="O39" s="48">
        <v>26.482285432420799</v>
      </c>
      <c r="P39" s="49">
        <v>49.961539497079997</v>
      </c>
      <c r="Q39" s="50">
        <v>450</v>
      </c>
      <c r="R39" s="50">
        <v>148</v>
      </c>
      <c r="S39" s="51">
        <v>48</v>
      </c>
      <c r="T39" s="52">
        <v>0</v>
      </c>
      <c r="U39" s="50">
        <v>2</v>
      </c>
      <c r="V39" s="51">
        <v>6</v>
      </c>
      <c r="W39" s="50">
        <f>SUM(Facilities_Masjids[[#This Row],[عدد صفوف الرجال]:[عدد صفوف النساء]])</f>
        <v>11</v>
      </c>
      <c r="X39" s="50">
        <v>9</v>
      </c>
      <c r="Y39" s="51">
        <v>2</v>
      </c>
      <c r="Z39" s="50">
        <f>SUM(Facilities_Masjids[[#This Row],[سعة المرفق من المصلين]:[سعة المرفق من المصليات]])</f>
        <v>272</v>
      </c>
      <c r="AA39" s="50">
        <v>224</v>
      </c>
      <c r="AB39" s="51">
        <v>48</v>
      </c>
      <c r="AC39" s="50">
        <f>SUM(Facilities_Masjids[[#This Row],[إجمالي عدد دورات مياه الرجال]],Facilities_Masjids[[#This Row],[إجمالي عدد دورات مياه النساء]])</f>
        <v>2</v>
      </c>
      <c r="AD39" s="50">
        <f>SUM(Facilities_Masjids[[#This Row],[عدد دورات مياه المعاقين من الرجال]],Facilities_Masjids[[#This Row],[عدد دورات مياه المعاقات من النساء]])</f>
        <v>0</v>
      </c>
      <c r="AE39" s="52">
        <v>2</v>
      </c>
      <c r="AF39" s="51">
        <v>0</v>
      </c>
      <c r="AG39" s="50">
        <v>0</v>
      </c>
      <c r="AH39" s="51">
        <v>0</v>
      </c>
      <c r="AI39" s="50">
        <f>SUM(Facilities_Masjids[[#This Row],[عدد مواضئ الرجال]:[عدد مواضئ النساء]])</f>
        <v>7</v>
      </c>
      <c r="AJ39" s="50">
        <v>7</v>
      </c>
      <c r="AK39" s="51">
        <v>0</v>
      </c>
      <c r="AL39" s="50">
        <f>SUM(Facilities_Masjids[[#This Row],[عدد مصاحف الرجال]:[عدد مصاحف النساء]])</f>
        <v>43</v>
      </c>
      <c r="AM39" s="50">
        <v>43</v>
      </c>
      <c r="AN39" s="51">
        <v>0</v>
      </c>
      <c r="AO39" s="50">
        <f>SUM(Facilities_Masjids[[#This Row],[عدد حاملات المصاحف للرجال]:[عدد حاملات المصاحف للنساء]])</f>
        <v>12</v>
      </c>
      <c r="AP39" s="50">
        <v>12</v>
      </c>
      <c r="AQ39" s="51">
        <v>0</v>
      </c>
      <c r="AR39" s="50">
        <f>SUM(Facilities_Masjids[[#This Row],[عدد دواليب المصاحف للرجال]:[عدد دواليب المصاحف للنساء]])</f>
        <v>7</v>
      </c>
      <c r="AS39" s="50">
        <v>7</v>
      </c>
      <c r="AT39" s="51">
        <v>0</v>
      </c>
      <c r="AU39" s="50">
        <f>SUM(Facilities_Masjids[[#This Row],[عدد الكراسي للرجال]:[عدد الكراسي للنساء]])</f>
        <v>6</v>
      </c>
      <c r="AV39" s="50">
        <v>6</v>
      </c>
      <c r="AW39" s="51">
        <v>0</v>
      </c>
      <c r="AX39" s="53" t="b">
        <v>0</v>
      </c>
      <c r="AY39" s="53" t="b">
        <v>0</v>
      </c>
      <c r="AZ39" s="53" t="b">
        <v>0</v>
      </c>
      <c r="BA39" s="57"/>
    </row>
    <row r="40" spans="2:53" x14ac:dyDescent="0.45">
      <c r="B40" s="57"/>
      <c r="C40" s="58">
        <f>ROW()-ROW(Facilities_Masjids[[#Headers],[م]])</f>
        <v>31</v>
      </c>
      <c r="D40" s="58" t="str">
        <f>_xlfn.XLOOKUP(Facilities_Masjids[[#This Row],[المدينة]],Saudi_Regions_Cities[المدينة],Saudi_Regions_Cities[المنطقة الإدارية],"")</f>
        <v>منطقة مكة المكرمة</v>
      </c>
      <c r="E40" s="58">
        <f>_xlfn.XLOOKUP(Facilities_Masjids[[#This Row],[المدينة]],Saudi_Regions_Cities[المدينة],Saudi_Regions_Cities[رمز المدينة],"")</f>
        <v>2001</v>
      </c>
      <c r="F40" s="43" t="s">
        <v>122</v>
      </c>
      <c r="G40" s="43" t="s">
        <v>197</v>
      </c>
      <c r="H40" s="44">
        <f>_xlfn.XLOOKUP(Facilities_Masjids[[#This Row],[تصنيف المرفق]],Facility_Classifications[تصنيف المرفق],Facility_Classifications[رمز تصنيف المرفق],"")</f>
        <v>3</v>
      </c>
      <c r="I40" s="43" t="s">
        <v>133</v>
      </c>
      <c r="J40" s="43">
        <f>VALUE(
Facilities_Masjids[[#This Row],[رمز تصنيف المرفق]]&amp;
TEXT(
IF(Facilities_Masjids[[#This Row],[المساحة الكلية للمرفق (م2)]]="",
COUNTA(Facilities_Masjids[المساحة الكلية للمرفق (م2)])+COUNTBLANK(INDEX(Facilities_Masjids[المساحة الكلية للمرفق (م2)],1):INDEX(Facilities_Masjids[المساحة الكلية للمرفق (م2)],ROW()-ROW(Facilities_Masjids[[#Headers],[رمز المرفق]]))),
IFERROR(
IF(COUNTIF(Facilities_Masjids[المساحة الكلية للمرفق (م2)],Facilities_Masjids[[#This Row],[المساحة الكلية للمرفق (م2)]])=1,
_xlfn.RANK.EQ(Facilities_Masjids[[#This Row],[المساحة الكلية للمرفق (م2)]],Facilities_Masjids[المساحة الكلية للمرفق (م2)]),
_xlfn.RANK.EQ(Facilities_Masjids[[#This Row],[المساحة الكلية للمرفق (م2)]],Facilities_Masjids[المساحة الكلية للمرفق (م2)])+
COUNTIF(INDEX(Facilities_Masjids[المساحة الكلية للمرفق (م2)],1):INDEX(Facilities_Masjids[المساحة الكلية للمرفق (م2)],ROW()-ROW(Facilities_Masjids[[#Headers],[رمز المرفق]])),Facilities_Masjids[[#This Row],[المساحة الكلية للمرفق (م2)]])-1),
0)),
"00"))</f>
        <v>329</v>
      </c>
      <c r="K40" s="45" t="s">
        <v>198</v>
      </c>
      <c r="L40" s="46" t="s">
        <v>199</v>
      </c>
      <c r="M40" s="187"/>
      <c r="N40" s="59" t="s">
        <v>200</v>
      </c>
      <c r="O40" s="48">
        <v>21.507890624428299</v>
      </c>
      <c r="P40" s="49">
        <v>39.179643868244099</v>
      </c>
      <c r="Q40" s="50">
        <v>42</v>
      </c>
      <c r="R40" s="50">
        <v>42</v>
      </c>
      <c r="S40" s="51">
        <v>0</v>
      </c>
      <c r="T40" s="52">
        <v>0</v>
      </c>
      <c r="U40" s="50">
        <v>1</v>
      </c>
      <c r="V40" s="51">
        <v>1</v>
      </c>
      <c r="W40" s="50">
        <f>SUM(Facilities_Masjids[[#This Row],[عدد صفوف الرجال]:[عدد صفوف النساء]])</f>
        <v>4</v>
      </c>
      <c r="X40" s="50">
        <v>4</v>
      </c>
      <c r="Y40" s="51">
        <v>0</v>
      </c>
      <c r="Z40" s="50">
        <f>SUM(Facilities_Masjids[[#This Row],[سعة المرفق من المصلين]:[سعة المرفق من المصليات]])</f>
        <v>80</v>
      </c>
      <c r="AA40" s="50">
        <v>80</v>
      </c>
      <c r="AB40" s="51">
        <v>0</v>
      </c>
      <c r="AC40" s="50">
        <f>SUM(Facilities_Masjids[[#This Row],[إجمالي عدد دورات مياه الرجال]],Facilities_Masjids[[#This Row],[إجمالي عدد دورات مياه النساء]])</f>
        <v>0</v>
      </c>
      <c r="AD40" s="50">
        <f>SUM(Facilities_Masjids[[#This Row],[عدد دورات مياه المعاقين من الرجال]],Facilities_Masjids[[#This Row],[عدد دورات مياه المعاقات من النساء]])</f>
        <v>0</v>
      </c>
      <c r="AE40" s="52">
        <v>0</v>
      </c>
      <c r="AF40" s="51">
        <v>0</v>
      </c>
      <c r="AG40" s="50">
        <v>0</v>
      </c>
      <c r="AH40" s="51">
        <v>0</v>
      </c>
      <c r="AI40" s="50">
        <f>SUM(Facilities_Masjids[[#This Row],[عدد مواضئ الرجال]:[عدد مواضئ النساء]])</f>
        <v>0</v>
      </c>
      <c r="AJ40" s="50">
        <v>0</v>
      </c>
      <c r="AK40" s="51">
        <v>0</v>
      </c>
      <c r="AL40" s="50">
        <f>SUM(Facilities_Masjids[[#This Row],[عدد مصاحف الرجال]:[عدد مصاحف النساء]])</f>
        <v>7</v>
      </c>
      <c r="AM40" s="50">
        <v>7</v>
      </c>
      <c r="AN40" s="51">
        <v>0</v>
      </c>
      <c r="AO40" s="50">
        <f>SUM(Facilities_Masjids[[#This Row],[عدد حاملات المصاحف للرجال]:[عدد حاملات المصاحف للنساء]])</f>
        <v>5</v>
      </c>
      <c r="AP40" s="50">
        <v>5</v>
      </c>
      <c r="AQ40" s="51">
        <v>0</v>
      </c>
      <c r="AR40" s="50">
        <f>SUM(Facilities_Masjids[[#This Row],[عدد دواليب المصاحف للرجال]:[عدد دواليب المصاحف للنساء]])</f>
        <v>0</v>
      </c>
      <c r="AS40" s="50">
        <v>0</v>
      </c>
      <c r="AT40" s="51">
        <v>0</v>
      </c>
      <c r="AU40" s="50">
        <f>SUM(Facilities_Masjids[[#This Row],[عدد الكراسي للرجال]:[عدد الكراسي للنساء]])</f>
        <v>2</v>
      </c>
      <c r="AV40" s="50">
        <v>2</v>
      </c>
      <c r="AW40" s="51">
        <v>0</v>
      </c>
      <c r="AX40" s="53" t="b">
        <v>0</v>
      </c>
      <c r="AY40" s="53" t="b">
        <v>0</v>
      </c>
      <c r="AZ40" s="53" t="b">
        <v>0</v>
      </c>
      <c r="BA40" s="57"/>
    </row>
    <row r="41" spans="2:53" x14ac:dyDescent="0.45">
      <c r="B41" s="57"/>
      <c r="C41" s="58">
        <f>ROW()-ROW(Facilities_Masjids[[#Headers],[م]])</f>
        <v>32</v>
      </c>
      <c r="D41" s="58" t="str">
        <f>_xlfn.XLOOKUP(Facilities_Masjids[[#This Row],[المدينة]],Saudi_Regions_Cities[المدينة],Saudi_Regions_Cities[المنطقة الإدارية],"")</f>
        <v>منطقة الباحة</v>
      </c>
      <c r="E41" s="58">
        <f>_xlfn.XLOOKUP(Facilities_Masjids[[#This Row],[المدينة]],Saudi_Regions_Cities[المدينة],Saudi_Regions_Cities[رمز المدينة],"")</f>
        <v>13002</v>
      </c>
      <c r="F41" s="43" t="s">
        <v>105</v>
      </c>
      <c r="G41" s="43" t="s">
        <v>201</v>
      </c>
      <c r="H41" s="44">
        <f>_xlfn.XLOOKUP(Facilities_Masjids[[#This Row],[تصنيف المرفق]],Facility_Classifications[تصنيف المرفق],Facility_Classifications[رمز تصنيف المرفق],"")</f>
        <v>1</v>
      </c>
      <c r="I41" s="43" t="s">
        <v>72</v>
      </c>
      <c r="J41" s="43">
        <f>VALUE(
Facilities_Masjids[[#This Row],[رمز تصنيف المرفق]]&amp;
TEXT(
IF(Facilities_Masjids[[#This Row],[المساحة الكلية للمرفق (م2)]]="",
COUNTA(Facilities_Masjids[المساحة الكلية للمرفق (م2)])+COUNTBLANK(INDEX(Facilities_Masjids[المساحة الكلية للمرفق (م2)],1):INDEX(Facilities_Masjids[المساحة الكلية للمرفق (م2)],ROW()-ROW(Facilities_Masjids[[#Headers],[رمز المرفق]]))),
IFERROR(
IF(COUNTIF(Facilities_Masjids[المساحة الكلية للمرفق (م2)],Facilities_Masjids[[#This Row],[المساحة الكلية للمرفق (م2)]])=1,
_xlfn.RANK.EQ(Facilities_Masjids[[#This Row],[المساحة الكلية للمرفق (م2)]],Facilities_Masjids[المساحة الكلية للمرفق (م2)]),
_xlfn.RANK.EQ(Facilities_Masjids[[#This Row],[المساحة الكلية للمرفق (م2)]],Facilities_Masjids[المساحة الكلية للمرفق (م2)])+
COUNTIF(INDEX(Facilities_Masjids[المساحة الكلية للمرفق (م2)],1):INDEX(Facilities_Masjids[المساحة الكلية للمرفق (م2)],ROW()-ROW(Facilities_Masjids[[#Headers],[رمز المرفق]])),Facilities_Masjids[[#This Row],[المساحة الكلية للمرفق (م2)]])-1),
0)),
"00"))</f>
        <v>114</v>
      </c>
      <c r="K41" s="45" t="s">
        <v>202</v>
      </c>
      <c r="L41" s="46" t="s">
        <v>203</v>
      </c>
      <c r="M41" s="187"/>
      <c r="N41" s="59" t="s">
        <v>204</v>
      </c>
      <c r="O41" s="48">
        <v>19.847998519595802</v>
      </c>
      <c r="P41" s="49">
        <v>41.5934605637595</v>
      </c>
      <c r="Q41" s="50">
        <v>300</v>
      </c>
      <c r="R41" s="50">
        <v>360</v>
      </c>
      <c r="S41" s="51">
        <v>0</v>
      </c>
      <c r="T41" s="52">
        <v>0</v>
      </c>
      <c r="U41" s="50">
        <v>2</v>
      </c>
      <c r="V41" s="51">
        <v>10</v>
      </c>
      <c r="W41" s="50">
        <f>SUM(Facilities_Masjids[[#This Row],[عدد صفوف الرجال]:[عدد صفوف النساء]])</f>
        <v>14</v>
      </c>
      <c r="X41" s="50">
        <v>14</v>
      </c>
      <c r="Y41" s="51">
        <v>0</v>
      </c>
      <c r="Z41" s="50">
        <f>SUM(Facilities_Masjids[[#This Row],[سعة المرفق من المصلين]:[سعة المرفق من المصليات]])</f>
        <v>700</v>
      </c>
      <c r="AA41" s="50">
        <v>700</v>
      </c>
      <c r="AB41" s="51">
        <v>0</v>
      </c>
      <c r="AC41" s="50">
        <f>SUM(Facilities_Masjids[[#This Row],[إجمالي عدد دورات مياه الرجال]],Facilities_Masjids[[#This Row],[إجمالي عدد دورات مياه النساء]])</f>
        <v>6</v>
      </c>
      <c r="AD41" s="50">
        <f>SUM(Facilities_Masjids[[#This Row],[عدد دورات مياه المعاقين من الرجال]],Facilities_Masjids[[#This Row],[عدد دورات مياه المعاقات من النساء]])</f>
        <v>0</v>
      </c>
      <c r="AE41" s="52">
        <v>6</v>
      </c>
      <c r="AF41" s="51">
        <v>0</v>
      </c>
      <c r="AG41" s="50">
        <v>0</v>
      </c>
      <c r="AH41" s="51">
        <v>0</v>
      </c>
      <c r="AI41" s="50">
        <f>SUM(Facilities_Masjids[[#This Row],[عدد مواضئ الرجال]:[عدد مواضئ النساء]])</f>
        <v>9</v>
      </c>
      <c r="AJ41" s="50">
        <v>9</v>
      </c>
      <c r="AK41" s="51">
        <v>0</v>
      </c>
      <c r="AL41" s="50">
        <f>SUM(Facilities_Masjids[[#This Row],[عدد مصاحف الرجال]:[عدد مصاحف النساء]])</f>
        <v>86</v>
      </c>
      <c r="AM41" s="50">
        <v>86</v>
      </c>
      <c r="AN41" s="51">
        <v>0</v>
      </c>
      <c r="AO41" s="50">
        <f>SUM(Facilities_Masjids[[#This Row],[عدد حاملات المصاحف للرجال]:[عدد حاملات المصاحف للنساء]])</f>
        <v>12</v>
      </c>
      <c r="AP41" s="50">
        <v>12</v>
      </c>
      <c r="AQ41" s="51">
        <v>0</v>
      </c>
      <c r="AR41" s="50">
        <f>SUM(Facilities_Masjids[[#This Row],[عدد دواليب المصاحف للرجال]:[عدد دواليب المصاحف للنساء]])</f>
        <v>4</v>
      </c>
      <c r="AS41" s="50">
        <v>4</v>
      </c>
      <c r="AT41" s="51">
        <v>0</v>
      </c>
      <c r="AU41" s="50">
        <f>SUM(Facilities_Masjids[[#This Row],[عدد الكراسي للرجال]:[عدد الكراسي للنساء]])</f>
        <v>14</v>
      </c>
      <c r="AV41" s="50">
        <v>14</v>
      </c>
      <c r="AW41" s="51">
        <v>0</v>
      </c>
      <c r="AX41" s="53" t="b">
        <v>0</v>
      </c>
      <c r="AY41" s="53" t="b">
        <v>0</v>
      </c>
      <c r="AZ41" s="53" t="b">
        <v>0</v>
      </c>
      <c r="BA41" s="57"/>
    </row>
    <row r="42" spans="2:53" x14ac:dyDescent="0.45">
      <c r="B42" s="57"/>
      <c r="C42" s="58">
        <f>ROW()-ROW(Facilities_Masjids[[#Headers],[م]])</f>
        <v>33</v>
      </c>
      <c r="D42" s="58" t="str">
        <f>_xlfn.XLOOKUP(Facilities_Masjids[[#This Row],[المدينة]],Saudi_Regions_Cities[المدينة],Saudi_Regions_Cities[المنطقة الإدارية],"")</f>
        <v>منطقة الباحة</v>
      </c>
      <c r="E42" s="58">
        <f>_xlfn.XLOOKUP(Facilities_Masjids[[#This Row],[المدينة]],Saudi_Regions_Cities[المدينة],Saudi_Regions_Cities[رمز المدينة],"")</f>
        <v>13002</v>
      </c>
      <c r="F42" s="43" t="s">
        <v>105</v>
      </c>
      <c r="G42" s="43" t="s">
        <v>205</v>
      </c>
      <c r="H42" s="44">
        <f>_xlfn.XLOOKUP(Facilities_Masjids[[#This Row],[تصنيف المرفق]],Facility_Classifications[تصنيف المرفق],Facility_Classifications[رمز تصنيف المرفق],"")</f>
        <v>1</v>
      </c>
      <c r="I42" s="43" t="s">
        <v>72</v>
      </c>
      <c r="J42" s="43">
        <f>VALUE(
Facilities_Masjids[[#This Row],[رمز تصنيف المرفق]]&amp;
TEXT(
IF(Facilities_Masjids[[#This Row],[المساحة الكلية للمرفق (م2)]]="",
COUNTA(Facilities_Masjids[المساحة الكلية للمرفق (م2)])+COUNTBLANK(INDEX(Facilities_Masjids[المساحة الكلية للمرفق (م2)],1):INDEX(Facilities_Masjids[المساحة الكلية للمرفق (م2)],ROW()-ROW(Facilities_Masjids[[#Headers],[رمز المرفق]]))),
IFERROR(
IF(COUNTIF(Facilities_Masjids[المساحة الكلية للمرفق (م2)],Facilities_Masjids[[#This Row],[المساحة الكلية للمرفق (م2)]])=1,
_xlfn.RANK.EQ(Facilities_Masjids[[#This Row],[المساحة الكلية للمرفق (م2)]],Facilities_Masjids[المساحة الكلية للمرفق (م2)]),
_xlfn.RANK.EQ(Facilities_Masjids[[#This Row],[المساحة الكلية للمرفق (م2)]],Facilities_Masjids[المساحة الكلية للمرفق (م2)])+
COUNTIF(INDEX(Facilities_Masjids[المساحة الكلية للمرفق (م2)],1):INDEX(Facilities_Masjids[المساحة الكلية للمرفق (م2)],ROW()-ROW(Facilities_Masjids[[#Headers],[رمز المرفق]])),Facilities_Masjids[[#This Row],[المساحة الكلية للمرفق (م2)]])-1),
0)),
"00"))</f>
        <v>134</v>
      </c>
      <c r="K42" s="45" t="s">
        <v>206</v>
      </c>
      <c r="L42" s="46" t="s">
        <v>207</v>
      </c>
      <c r="M42" s="187"/>
      <c r="N42" s="59"/>
      <c r="O42" s="48"/>
      <c r="P42" s="49"/>
      <c r="Q42" s="50"/>
      <c r="R42" s="50"/>
      <c r="S42" s="51"/>
      <c r="T42" s="52"/>
      <c r="U42" s="50"/>
      <c r="V42" s="51"/>
      <c r="W42" s="50">
        <f>SUM(Facilities_Masjids[[#This Row],[عدد صفوف الرجال]:[عدد صفوف النساء]])</f>
        <v>0</v>
      </c>
      <c r="X42" s="50"/>
      <c r="Y42" s="51"/>
      <c r="Z42" s="50">
        <f>SUM(Facilities_Masjids[[#This Row],[سعة المرفق من المصلين]:[سعة المرفق من المصليات]])</f>
        <v>0</v>
      </c>
      <c r="AA42" s="50"/>
      <c r="AB42" s="51"/>
      <c r="AC42" s="50">
        <f>SUM(Facilities_Masjids[[#This Row],[إجمالي عدد دورات مياه الرجال]],Facilities_Masjids[[#This Row],[إجمالي عدد دورات مياه النساء]])</f>
        <v>0</v>
      </c>
      <c r="AD42" s="50">
        <f>SUM(Facilities_Masjids[[#This Row],[عدد دورات مياه المعاقين من الرجال]],Facilities_Masjids[[#This Row],[عدد دورات مياه المعاقات من النساء]])</f>
        <v>0</v>
      </c>
      <c r="AE42" s="52"/>
      <c r="AF42" s="51"/>
      <c r="AG42" s="50"/>
      <c r="AH42" s="51"/>
      <c r="AI42" s="50">
        <f>SUM(Facilities_Masjids[[#This Row],[عدد مواضئ الرجال]:[عدد مواضئ النساء]])</f>
        <v>0</v>
      </c>
      <c r="AJ42" s="50"/>
      <c r="AK42" s="51"/>
      <c r="AL42" s="50">
        <f>SUM(Facilities_Masjids[[#This Row],[عدد مصاحف الرجال]:[عدد مصاحف النساء]])</f>
        <v>0</v>
      </c>
      <c r="AM42" s="50"/>
      <c r="AN42" s="51"/>
      <c r="AO42" s="50">
        <f>SUM(Facilities_Masjids[[#This Row],[عدد حاملات المصاحف للرجال]:[عدد حاملات المصاحف للنساء]])</f>
        <v>0</v>
      </c>
      <c r="AP42" s="50"/>
      <c r="AQ42" s="51"/>
      <c r="AR42" s="50">
        <f>SUM(Facilities_Masjids[[#This Row],[عدد دواليب المصاحف للرجال]:[عدد دواليب المصاحف للنساء]])</f>
        <v>0</v>
      </c>
      <c r="AS42" s="50"/>
      <c r="AT42" s="51"/>
      <c r="AU42" s="50">
        <f>SUM(Facilities_Masjids[[#This Row],[عدد الكراسي للرجال]:[عدد الكراسي للنساء]])</f>
        <v>0</v>
      </c>
      <c r="AV42" s="50"/>
      <c r="AW42" s="51"/>
      <c r="AX42" s="53" t="b">
        <v>0</v>
      </c>
      <c r="AY42" s="53" t="b">
        <v>0</v>
      </c>
      <c r="AZ42" s="53" t="b">
        <v>0</v>
      </c>
      <c r="BA42" s="57"/>
    </row>
    <row r="43" spans="2:53" x14ac:dyDescent="0.45">
      <c r="B43" s="57"/>
      <c r="C43" s="58">
        <f>ROW()-ROW(Facilities_Masjids[[#Headers],[م]])</f>
        <v>34</v>
      </c>
      <c r="D43" s="58" t="str">
        <f>_xlfn.XLOOKUP(Facilities_Masjids[[#This Row],[المدينة]],Saudi_Regions_Cities[المدينة],Saudi_Regions_Cities[المنطقة الإدارية],"")</f>
        <v>منطقة مكة المكرمة</v>
      </c>
      <c r="E43" s="58">
        <f>_xlfn.XLOOKUP(Facilities_Masjids[[#This Row],[المدينة]],Saudi_Regions_Cities[المدينة],Saudi_Regions_Cities[رمز المدينة],"")</f>
        <v>2002</v>
      </c>
      <c r="F43" s="43" t="s">
        <v>87</v>
      </c>
      <c r="G43" s="43" t="s">
        <v>208</v>
      </c>
      <c r="H43" s="44">
        <f>_xlfn.XLOOKUP(Facilities_Masjids[[#This Row],[تصنيف المرفق]],Facility_Classifications[تصنيف المرفق],Facility_Classifications[رمز تصنيف المرفق],"")</f>
        <v>1</v>
      </c>
      <c r="I43" s="43" t="s">
        <v>72</v>
      </c>
      <c r="J43" s="43">
        <f>VALUE(
Facilities_Masjids[[#This Row],[رمز تصنيف المرفق]]&amp;
TEXT(
IF(Facilities_Masjids[[#This Row],[المساحة الكلية للمرفق (م2)]]="",
COUNTA(Facilities_Masjids[المساحة الكلية للمرفق (م2)])+COUNTBLANK(INDEX(Facilities_Masjids[المساحة الكلية للمرفق (م2)],1):INDEX(Facilities_Masjids[المساحة الكلية للمرفق (م2)],ROW()-ROW(Facilities_Masjids[[#Headers],[رمز المرفق]]))),
IFERROR(
IF(COUNTIF(Facilities_Masjids[المساحة الكلية للمرفق (م2)],Facilities_Masjids[[#This Row],[المساحة الكلية للمرفق (م2)]])=1,
_xlfn.RANK.EQ(Facilities_Masjids[[#This Row],[المساحة الكلية للمرفق (م2)]],Facilities_Masjids[المساحة الكلية للمرفق (م2)]),
_xlfn.RANK.EQ(Facilities_Masjids[[#This Row],[المساحة الكلية للمرفق (م2)]],Facilities_Masjids[المساحة الكلية للمرفق (م2)])+
COUNTIF(INDEX(Facilities_Masjids[المساحة الكلية للمرفق (م2)],1):INDEX(Facilities_Masjids[المساحة الكلية للمرفق (م2)],ROW()-ROW(Facilities_Masjids[[#Headers],[رمز المرفق]])),Facilities_Masjids[[#This Row],[المساحة الكلية للمرفق (م2)]])-1),
0)),
"00"))</f>
        <v>104</v>
      </c>
      <c r="K43" s="45" t="s">
        <v>209</v>
      </c>
      <c r="L43" s="46" t="s">
        <v>210</v>
      </c>
      <c r="M43" s="187"/>
      <c r="N43" s="59" t="s">
        <v>211</v>
      </c>
      <c r="O43" s="48">
        <v>21.399066999999999</v>
      </c>
      <c r="P43" s="49">
        <v>39.710372</v>
      </c>
      <c r="Q43" s="50">
        <v>5600</v>
      </c>
      <c r="R43" s="50">
        <v>4800</v>
      </c>
      <c r="S43" s="51">
        <v>190</v>
      </c>
      <c r="T43" s="52">
        <v>61</v>
      </c>
      <c r="U43" s="50">
        <v>18</v>
      </c>
      <c r="V43" s="51">
        <v>0</v>
      </c>
      <c r="W43" s="50">
        <f>SUM(Facilities_Masjids[[#This Row],[عدد صفوف الرجال]:[عدد صفوف النساء]])</f>
        <v>50</v>
      </c>
      <c r="X43" s="50">
        <v>30</v>
      </c>
      <c r="Y43" s="51">
        <v>20</v>
      </c>
      <c r="Z43" s="50">
        <f>SUM(Facilities_Masjids[[#This Row],[سعة المرفق من المصلين]:[سعة المرفق من المصليات]])</f>
        <v>3680</v>
      </c>
      <c r="AA43" s="50">
        <v>3500</v>
      </c>
      <c r="AB43" s="51">
        <v>180</v>
      </c>
      <c r="AC43" s="50">
        <f>SUM(Facilities_Masjids[[#This Row],[إجمالي عدد دورات مياه الرجال]],Facilities_Masjids[[#This Row],[إجمالي عدد دورات مياه النساء]])</f>
        <v>57</v>
      </c>
      <c r="AD43" s="50">
        <f>SUM(Facilities_Masjids[[#This Row],[عدد دورات مياه المعاقين من الرجال]],Facilities_Masjids[[#This Row],[عدد دورات مياه المعاقات من النساء]])</f>
        <v>4</v>
      </c>
      <c r="AE43" s="52">
        <v>47</v>
      </c>
      <c r="AF43" s="51">
        <v>3</v>
      </c>
      <c r="AG43" s="50">
        <v>10</v>
      </c>
      <c r="AH43" s="51">
        <v>1</v>
      </c>
      <c r="AI43" s="50">
        <f>SUM(Facilities_Masjids[[#This Row],[عدد مواضئ الرجال]:[عدد مواضئ النساء]])</f>
        <v>71</v>
      </c>
      <c r="AJ43" s="50">
        <v>55</v>
      </c>
      <c r="AK43" s="51">
        <v>16</v>
      </c>
      <c r="AL43" s="50">
        <f>SUM(Facilities_Masjids[[#This Row],[عدد مصاحف الرجال]:[عدد مصاحف النساء]])</f>
        <v>1920</v>
      </c>
      <c r="AM43" s="50">
        <v>1620</v>
      </c>
      <c r="AN43" s="51">
        <v>300</v>
      </c>
      <c r="AO43" s="50">
        <f>SUM(Facilities_Masjids[[#This Row],[عدد حاملات المصاحف للرجال]:[عدد حاملات المصاحف للنساء]])</f>
        <v>63</v>
      </c>
      <c r="AP43" s="50">
        <v>60</v>
      </c>
      <c r="AQ43" s="51">
        <v>3</v>
      </c>
      <c r="AR43" s="50">
        <f>SUM(Facilities_Masjids[[#This Row],[عدد دواليب المصاحف للرجال]:[عدد دواليب المصاحف للنساء]])</f>
        <v>27</v>
      </c>
      <c r="AS43" s="50">
        <v>17</v>
      </c>
      <c r="AT43" s="51">
        <v>10</v>
      </c>
      <c r="AU43" s="50">
        <f>SUM(Facilities_Masjids[[#This Row],[عدد الكراسي للرجال]:[عدد الكراسي للنساء]])</f>
        <v>100</v>
      </c>
      <c r="AV43" s="50">
        <v>80</v>
      </c>
      <c r="AW43" s="51">
        <v>20</v>
      </c>
      <c r="AX43" s="53" t="b">
        <v>1</v>
      </c>
      <c r="AY43" s="53" t="b">
        <v>1</v>
      </c>
      <c r="AZ43" s="53" t="b">
        <v>1</v>
      </c>
      <c r="BA43" s="57"/>
    </row>
    <row r="44" spans="2:53" x14ac:dyDescent="0.45">
      <c r="B44" s="57"/>
      <c r="C44" s="58">
        <f>ROW()-ROW(Facilities_Masjids[[#Headers],[م]])</f>
        <v>35</v>
      </c>
      <c r="D44" s="58" t="str">
        <f>_xlfn.XLOOKUP(Facilities_Masjids[[#This Row],[المدينة]],Saudi_Regions_Cities[المدينة],Saudi_Regions_Cities[المنطقة الإدارية],"")</f>
        <v>منطقة مكة المكرمة</v>
      </c>
      <c r="E44" s="58">
        <f>_xlfn.XLOOKUP(Facilities_Masjids[[#This Row],[المدينة]],Saudi_Regions_Cities[المدينة],Saudi_Regions_Cities[رمز المدينة],"")</f>
        <v>2002</v>
      </c>
      <c r="F44" s="43" t="s">
        <v>87</v>
      </c>
      <c r="G44" s="43" t="s">
        <v>212</v>
      </c>
      <c r="H44" s="44">
        <f>_xlfn.XLOOKUP(Facilities_Masjids[[#This Row],[تصنيف المرفق]],Facility_Classifications[تصنيف المرفق],Facility_Classifications[رمز تصنيف المرفق],"")</f>
        <v>1</v>
      </c>
      <c r="I44" s="43" t="s">
        <v>72</v>
      </c>
      <c r="J44" s="43">
        <f>VALUE(
Facilities_Masjids[[#This Row],[رمز تصنيف المرفق]]&amp;
TEXT(
IF(Facilities_Masjids[[#This Row],[المساحة الكلية للمرفق (م2)]]="",
COUNTA(Facilities_Masjids[المساحة الكلية للمرفق (م2)])+COUNTBLANK(INDEX(Facilities_Masjids[المساحة الكلية للمرفق (م2)],1):INDEX(Facilities_Masjids[المساحة الكلية للمرفق (م2)],ROW()-ROW(Facilities_Masjids[[#Headers],[رمز المرفق]]))),
IFERROR(
IF(COUNTIF(Facilities_Masjids[المساحة الكلية للمرفق (م2)],Facilities_Masjids[[#This Row],[المساحة الكلية للمرفق (م2)]])=1,
_xlfn.RANK.EQ(Facilities_Masjids[[#This Row],[المساحة الكلية للمرفق (م2)]],Facilities_Masjids[المساحة الكلية للمرفق (م2)]),
_xlfn.RANK.EQ(Facilities_Masjids[[#This Row],[المساحة الكلية للمرفق (م2)]],Facilities_Masjids[المساحة الكلية للمرفق (م2)])+
COUNTIF(INDEX(Facilities_Masjids[المساحة الكلية للمرفق (م2)],1):INDEX(Facilities_Masjids[المساحة الكلية للمرفق (م2)],ROW()-ROW(Facilities_Masjids[[#Headers],[رمز المرفق]])),Facilities_Masjids[[#This Row],[المساحة الكلية للمرفق (م2)]])-1),
0)),
"00"))</f>
        <v>135</v>
      </c>
      <c r="K44" s="45" t="s">
        <v>213</v>
      </c>
      <c r="L44" s="46" t="s">
        <v>214</v>
      </c>
      <c r="M44" s="187"/>
      <c r="N44" s="47" t="s">
        <v>215</v>
      </c>
      <c r="O44" s="48">
        <v>21.470164409999999</v>
      </c>
      <c r="P44" s="49">
        <v>39.941381319999998</v>
      </c>
      <c r="Q44" s="50"/>
      <c r="R44" s="50"/>
      <c r="S44" s="51"/>
      <c r="T44" s="52"/>
      <c r="U44" s="50"/>
      <c r="V44" s="51"/>
      <c r="W44" s="50">
        <f>SUM(Facilities_Masjids[[#This Row],[عدد صفوف الرجال]:[عدد صفوف النساء]])</f>
        <v>0</v>
      </c>
      <c r="X44" s="50"/>
      <c r="Y44" s="51"/>
      <c r="Z44" s="50">
        <f>SUM(Facilities_Masjids[[#This Row],[سعة المرفق من المصلين]:[سعة المرفق من المصليات]])</f>
        <v>0</v>
      </c>
      <c r="AA44" s="50"/>
      <c r="AB44" s="51"/>
      <c r="AC44" s="50">
        <f>SUM(Facilities_Masjids[[#This Row],[إجمالي عدد دورات مياه الرجال]],Facilities_Masjids[[#This Row],[إجمالي عدد دورات مياه النساء]])</f>
        <v>0</v>
      </c>
      <c r="AD44" s="50">
        <f>SUM(Facilities_Masjids[[#This Row],[عدد دورات مياه المعاقين من الرجال]],Facilities_Masjids[[#This Row],[عدد دورات مياه المعاقات من النساء]])</f>
        <v>0</v>
      </c>
      <c r="AE44" s="52"/>
      <c r="AF44" s="51"/>
      <c r="AG44" s="50"/>
      <c r="AH44" s="51"/>
      <c r="AI44" s="50">
        <f>SUM(Facilities_Masjids[[#This Row],[عدد مواضئ الرجال]:[عدد مواضئ النساء]])</f>
        <v>0</v>
      </c>
      <c r="AJ44" s="50"/>
      <c r="AK44" s="51"/>
      <c r="AL44" s="50">
        <f>SUM(Facilities_Masjids[[#This Row],[عدد مصاحف الرجال]:[عدد مصاحف النساء]])</f>
        <v>0</v>
      </c>
      <c r="AM44" s="50"/>
      <c r="AN44" s="51"/>
      <c r="AO44" s="50">
        <f>SUM(Facilities_Masjids[[#This Row],[عدد حاملات المصاحف للرجال]:[عدد حاملات المصاحف للنساء]])</f>
        <v>0</v>
      </c>
      <c r="AP44" s="50"/>
      <c r="AQ44" s="51"/>
      <c r="AR44" s="50">
        <f>SUM(Facilities_Masjids[[#This Row],[عدد دواليب المصاحف للرجال]:[عدد دواليب المصاحف للنساء]])</f>
        <v>0</v>
      </c>
      <c r="AS44" s="50"/>
      <c r="AT44" s="51"/>
      <c r="AU44" s="50">
        <f>SUM(Facilities_Masjids[[#This Row],[عدد الكراسي للرجال]:[عدد الكراسي للنساء]])</f>
        <v>0</v>
      </c>
      <c r="AV44" s="50"/>
      <c r="AW44" s="51"/>
      <c r="AX44" s="53" t="b">
        <v>0</v>
      </c>
      <c r="AY44" s="53" t="b">
        <v>0</v>
      </c>
      <c r="AZ44" s="53" t="b">
        <v>0</v>
      </c>
      <c r="BA44" s="57"/>
    </row>
    <row r="45" spans="2:53" x14ac:dyDescent="0.45">
      <c r="B45" s="57"/>
      <c r="C45" s="58">
        <f>ROW()-ROW(Facilities_Masjids[[#Headers],[م]])</f>
        <v>36</v>
      </c>
      <c r="D45" s="58" t="str">
        <f>_xlfn.XLOOKUP(Facilities_Masjids[[#This Row],[المدينة]],Saudi_Regions_Cities[المدينة],Saudi_Regions_Cities[المنطقة الإدارية],"")</f>
        <v>منطقة مكة المكرمة</v>
      </c>
      <c r="E45" s="58">
        <f>_xlfn.XLOOKUP(Facilities_Masjids[[#This Row],[المدينة]],Saudi_Regions_Cities[المدينة],Saudi_Regions_Cities[رمز المدينة],"")</f>
        <v>2002</v>
      </c>
      <c r="F45" s="43" t="s">
        <v>87</v>
      </c>
      <c r="G45" s="43"/>
      <c r="H45" s="44">
        <f>_xlfn.XLOOKUP(Facilities_Masjids[[#This Row],[تصنيف المرفق]],Facility_Classifications[تصنيف المرفق],Facility_Classifications[رمز تصنيف المرفق],"")</f>
        <v>1</v>
      </c>
      <c r="I45" s="43" t="s">
        <v>72</v>
      </c>
      <c r="J45" s="43">
        <f>VALUE(
Facilities_Masjids[[#This Row],[رمز تصنيف المرفق]]&amp;
TEXT(
IF(Facilities_Masjids[[#This Row],[المساحة الكلية للمرفق (م2)]]="",
COUNTA(Facilities_Masjids[المساحة الكلية للمرفق (م2)])+COUNTBLANK(INDEX(Facilities_Masjids[المساحة الكلية للمرفق (م2)],1):INDEX(Facilities_Masjids[المساحة الكلية للمرفق (م2)],ROW()-ROW(Facilities_Masjids[[#Headers],[رمز المرفق]]))),
IFERROR(
IF(COUNTIF(Facilities_Masjids[المساحة الكلية للمرفق (م2)],Facilities_Masjids[[#This Row],[المساحة الكلية للمرفق (م2)]])=1,
_xlfn.RANK.EQ(Facilities_Masjids[[#This Row],[المساحة الكلية للمرفق (م2)]],Facilities_Masjids[المساحة الكلية للمرفق (م2)]),
_xlfn.RANK.EQ(Facilities_Masjids[[#This Row],[المساحة الكلية للمرفق (م2)]],Facilities_Masjids[المساحة الكلية للمرفق (م2)])+
COUNTIF(INDEX(Facilities_Masjids[المساحة الكلية للمرفق (م2)],1):INDEX(Facilities_Masjids[المساحة الكلية للمرفق (م2)],ROW()-ROW(Facilities_Masjids[[#Headers],[رمز المرفق]])),Facilities_Masjids[[#This Row],[المساحة الكلية للمرفق (م2)]])-1),
0)),
"00"))</f>
        <v>136</v>
      </c>
      <c r="K45" s="45" t="s">
        <v>216</v>
      </c>
      <c r="L45" s="46" t="s">
        <v>217</v>
      </c>
      <c r="M45" s="187"/>
      <c r="N45" s="59" t="s">
        <v>218</v>
      </c>
      <c r="O45" s="48">
        <v>21.4401002</v>
      </c>
      <c r="P45" s="49">
        <v>39.781038299999999</v>
      </c>
      <c r="Q45" s="50"/>
      <c r="R45" s="50"/>
      <c r="S45" s="51"/>
      <c r="T45" s="52"/>
      <c r="U45" s="50"/>
      <c r="V45" s="51"/>
      <c r="W45" s="50">
        <f>SUM(Facilities_Masjids[[#This Row],[عدد صفوف الرجال]:[عدد صفوف النساء]])</f>
        <v>0</v>
      </c>
      <c r="X45" s="50"/>
      <c r="Y45" s="51"/>
      <c r="Z45" s="50">
        <f>SUM(Facilities_Masjids[[#This Row],[سعة المرفق من المصلين]:[سعة المرفق من المصليات]])</f>
        <v>0</v>
      </c>
      <c r="AA45" s="50"/>
      <c r="AB45" s="51"/>
      <c r="AC45" s="50">
        <f>SUM(Facilities_Masjids[[#This Row],[إجمالي عدد دورات مياه الرجال]],Facilities_Masjids[[#This Row],[إجمالي عدد دورات مياه النساء]])</f>
        <v>0</v>
      </c>
      <c r="AD45" s="50">
        <f>SUM(Facilities_Masjids[[#This Row],[عدد دورات مياه المعاقين من الرجال]],Facilities_Masjids[[#This Row],[عدد دورات مياه المعاقات من النساء]])</f>
        <v>0</v>
      </c>
      <c r="AE45" s="52"/>
      <c r="AF45" s="51"/>
      <c r="AG45" s="50"/>
      <c r="AH45" s="51"/>
      <c r="AI45" s="50">
        <f>SUM(Facilities_Masjids[[#This Row],[عدد مواضئ الرجال]:[عدد مواضئ النساء]])</f>
        <v>0</v>
      </c>
      <c r="AJ45" s="50"/>
      <c r="AK45" s="51"/>
      <c r="AL45" s="50">
        <f>SUM(Facilities_Masjids[[#This Row],[عدد مصاحف الرجال]:[عدد مصاحف النساء]])</f>
        <v>0</v>
      </c>
      <c r="AM45" s="50"/>
      <c r="AN45" s="51"/>
      <c r="AO45" s="50">
        <f>SUM(Facilities_Masjids[[#This Row],[عدد حاملات المصاحف للرجال]:[عدد حاملات المصاحف للنساء]])</f>
        <v>0</v>
      </c>
      <c r="AP45" s="50"/>
      <c r="AQ45" s="51"/>
      <c r="AR45" s="50">
        <f>SUM(Facilities_Masjids[[#This Row],[عدد دواليب المصاحف للرجال]:[عدد دواليب المصاحف للنساء]])</f>
        <v>0</v>
      </c>
      <c r="AS45" s="50"/>
      <c r="AT45" s="51"/>
      <c r="AU45" s="50">
        <f>SUM(Facilities_Masjids[[#This Row],[عدد الكراسي للرجال]:[عدد الكراسي للنساء]])</f>
        <v>0</v>
      </c>
      <c r="AV45" s="50"/>
      <c r="AW45" s="51"/>
      <c r="AX45" s="53" t="b">
        <v>0</v>
      </c>
      <c r="AY45" s="53" t="b">
        <v>0</v>
      </c>
      <c r="AZ45" s="53" t="b">
        <v>0</v>
      </c>
      <c r="BA45" s="57"/>
    </row>
    <row r="46" spans="2:53" x14ac:dyDescent="0.45">
      <c r="B46" s="57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57"/>
    </row>
  </sheetData>
  <sheetProtection formatCells="0" formatColumns="0" formatRows="0" insertColumns="0" insertRows="0" insertHyperlinks="0" deleteColumns="0" deleteRows="0" sort="0" autoFilter="0" pivotTables="0"/>
  <mergeCells count="17">
    <mergeCell ref="AO8:AQ8"/>
    <mergeCell ref="AR8:AT8"/>
    <mergeCell ref="AU8:AW8"/>
    <mergeCell ref="T8:V8"/>
    <mergeCell ref="AX8:AZ8"/>
    <mergeCell ref="C3:D3"/>
    <mergeCell ref="AY3:AZ3"/>
    <mergeCell ref="C4:AZ4"/>
    <mergeCell ref="C8:G8"/>
    <mergeCell ref="Q8:S8"/>
    <mergeCell ref="H8:L8"/>
    <mergeCell ref="N8:P8"/>
    <mergeCell ref="W8:Y8"/>
    <mergeCell ref="Z8:AB8"/>
    <mergeCell ref="AC8:AH8"/>
    <mergeCell ref="AI8:AK8"/>
    <mergeCell ref="AL8:AN8"/>
  </mergeCells>
  <phoneticPr fontId="23" type="noConversion"/>
  <conditionalFormatting sqref="C6:D6 AZ6 C10:AZ45">
    <cfRule type="containsBlanks" dxfId="31" priority="6">
      <formula>LEN(TRIM(C6))=0</formula>
    </cfRule>
  </conditionalFormatting>
  <conditionalFormatting sqref="C10:AZ45 C6:D6 AZ6">
    <cfRule type="expression" dxfId="30" priority="5">
      <formula>_xlfn.ISFORMULA(C6)</formula>
    </cfRule>
  </conditionalFormatting>
  <conditionalFormatting sqref="J10:J45">
    <cfRule type="duplicateValues" dxfId="29" priority="1"/>
  </conditionalFormatting>
  <conditionalFormatting sqref="N10:N45">
    <cfRule type="duplicateValues" dxfId="28" priority="4"/>
  </conditionalFormatting>
  <conditionalFormatting sqref="O10:O45">
    <cfRule type="duplicateValues" dxfId="27" priority="3"/>
  </conditionalFormatting>
  <conditionalFormatting sqref="P10:P45">
    <cfRule type="duplicateValues" dxfId="26" priority="2"/>
  </conditionalFormatting>
  <dataValidations count="7">
    <dataValidation type="list" allowBlank="1" showInputMessage="1" showErrorMessage="1" sqref="F10:F45" xr:uid="{FBF4EAE5-7B94-462A-A27C-055CB4EEC0E3}">
      <formula1>INDIRECT("Saudi_Regions_Cities[المدينة]")</formula1>
    </dataValidation>
    <dataValidation type="list" allowBlank="1" showInputMessage="1" showErrorMessage="1" sqref="I10:I45" xr:uid="{D9F450C8-0CD2-406B-B359-D37B348A3939}">
      <formula1>INDIRECT("Facility_Classifications[تصنيف المرفق]")</formula1>
    </dataValidation>
    <dataValidation type="decimal" operator="greaterThan" allowBlank="1" showInputMessage="1" showErrorMessage="1" sqref="O10:Q45" xr:uid="{2B862550-DB81-4152-B712-A0C15D12FBB4}">
      <formula1>0</formula1>
    </dataValidation>
    <dataValidation type="decimal" operator="greaterThanOrEqual" allowBlank="1" showInputMessage="1" showErrorMessage="1" sqref="W10:Y45 R10:S45" xr:uid="{D83C414A-3B90-4CD9-9F45-CE71CF560BA0}">
      <formula1>0</formula1>
    </dataValidation>
    <dataValidation type="whole" operator="greaterThanOrEqual" allowBlank="1" showInputMessage="1" showErrorMessage="1" sqref="T10:V45 Z10:AE45 AG10:AG45 AI10:AT45" xr:uid="{0A2C43F8-650C-41D2-BF10-4370C2432F57}">
      <formula1>0</formula1>
    </dataValidation>
    <dataValidation type="whole" allowBlank="1" showInputMessage="1" showErrorMessage="1" sqref="AF10:AF45" xr:uid="{EB8DF7E5-1098-4872-8472-B9DE5DCEB273}">
      <formula1>0</formula1>
      <formula2>$AE10</formula2>
    </dataValidation>
    <dataValidation type="whole" allowBlank="1" showInputMessage="1" showErrorMessage="1" sqref="AH10:AH45" xr:uid="{14E2CCF6-5F16-4204-87FE-E9918068C2F7}">
      <formula1>0</formula1>
      <formula2>$AG10</formula2>
    </dataValidation>
  </dataValidations>
  <hyperlinks>
    <hyperlink ref="N10" r:id="rId1" xr:uid="{27C56B7F-164A-4F0B-9CB9-2E2438C7FCE8}"/>
    <hyperlink ref="N11" r:id="rId2" xr:uid="{251E188F-1015-4CDC-A4C6-98BC95CEAD88}"/>
    <hyperlink ref="N12" r:id="rId3" xr:uid="{5024ADC2-565F-47EE-B109-E1C263C47DD2}"/>
    <hyperlink ref="N13" r:id="rId4" xr:uid="{3FAB724D-98EF-4DF2-8525-8B963E16F807}"/>
    <hyperlink ref="N14" r:id="rId5" xr:uid="{48656751-A859-486B-A999-3D618D5866A3}"/>
    <hyperlink ref="N15" r:id="rId6" xr:uid="{B2DC75DF-5FE7-4AB4-A96E-5216B057EBE1}"/>
    <hyperlink ref="N16" r:id="rId7" xr:uid="{471AE6C4-8AE2-445B-AFCA-BEE4AF7E1032}"/>
    <hyperlink ref="N17" r:id="rId8" xr:uid="{DC140280-F9C0-4890-90EA-73A249AAE6C7}"/>
    <hyperlink ref="N18" r:id="rId9" xr:uid="{831E4412-C109-4670-8F35-B066516C5297}"/>
    <hyperlink ref="N19" r:id="rId10" xr:uid="{809CECA4-12F5-417B-8541-C397C731CB38}"/>
    <hyperlink ref="N20" r:id="rId11" xr:uid="{4FE61F8A-5C57-4BF5-8C85-0F1BECA6CFEB}"/>
    <hyperlink ref="N21" r:id="rId12" xr:uid="{FD0B2728-C279-4C6F-A5BE-A6D0C7CB29A2}"/>
    <hyperlink ref="N22" r:id="rId13" xr:uid="{333539C2-9948-4B8C-BFBD-D825712A1DBC}"/>
    <hyperlink ref="N44" r:id="rId14" xr:uid="{19985DFD-8986-4CB0-BC78-61CDD2B642D3}"/>
    <hyperlink ref="N26" r:id="rId15" xr:uid="{2D68068D-1512-4406-8BFA-F76DF568F03F}"/>
  </hyperlinks>
  <printOptions horizontalCentered="1"/>
  <pageMargins left="0" right="0" top="0.2" bottom="0.2" header="0" footer="0"/>
  <pageSetup paperSize="9" scale="10" fitToHeight="0" orientation="portrait" r:id="rId16"/>
  <headerFooter differentFirst="1">
    <oddFooter>&amp;C&amp;"Frutiger LT Arabic 45 Light,Regular"&amp;12&amp;K000000صفحة &amp;P من &amp;N</oddFooter>
  </headerFooter>
  <tableParts count="3">
    <tablePart r:id="rId17"/>
    <tablePart r:id="rId18"/>
    <tablePart r:id="rId1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B0B1B-E224-43C2-A23D-8359A3D022AA}">
  <sheetPr>
    <tabColor theme="0" tint="-0.14999847407452621"/>
    <pageSetUpPr fitToPage="1"/>
  </sheetPr>
  <dimension ref="B2:AG301"/>
  <sheetViews>
    <sheetView showGridLines="0" rightToLeft="1" zoomScale="25" zoomScaleNormal="25" zoomScaleSheetLayoutView="30" workbookViewId="0">
      <selection activeCell="F47" sqref="F47"/>
    </sheetView>
  </sheetViews>
  <sheetFormatPr defaultColWidth="2.44140625" defaultRowHeight="32.25" x14ac:dyDescent="0.45"/>
  <cols>
    <col min="1" max="1" width="2.44140625" style="2"/>
    <col min="2" max="2" width="2.21875" style="2" customWidth="1"/>
    <col min="3" max="3" width="25" style="7" bestFit="1" customWidth="1"/>
    <col min="4" max="4" width="26.77734375" style="7" bestFit="1" customWidth="1"/>
    <col min="5" max="5" width="28.88671875" style="7" bestFit="1" customWidth="1"/>
    <col min="6" max="7" width="42.77734375" style="7" bestFit="1" customWidth="1"/>
    <col min="8" max="8" width="2.44140625" style="7" customWidth="1"/>
    <col min="9" max="9" width="25" style="7" bestFit="1" customWidth="1"/>
    <col min="10" max="10" width="26.77734375" style="7" bestFit="1" customWidth="1"/>
    <col min="11" max="11" width="14.6640625" style="7" bestFit="1" customWidth="1"/>
    <col min="12" max="12" width="35.44140625" style="7" bestFit="1" customWidth="1"/>
    <col min="13" max="14" width="42.77734375" style="7" bestFit="1" customWidth="1"/>
    <col min="15" max="15" width="2.44140625" style="7" customWidth="1"/>
    <col min="16" max="16" width="23.33203125" style="7" bestFit="1" customWidth="1"/>
    <col min="17" max="17" width="34.77734375" style="7" bestFit="1" customWidth="1"/>
    <col min="18" max="18" width="30.44140625" style="7" bestFit="1" customWidth="1"/>
    <col min="19" max="19" width="26.109375" style="7" bestFit="1" customWidth="1"/>
    <col min="20" max="20" width="35.44140625" style="7" bestFit="1" customWidth="1"/>
    <col min="21" max="21" width="32.6640625" style="7" bestFit="1" customWidth="1"/>
    <col min="22" max="22" width="21.88671875" style="7" bestFit="1" customWidth="1"/>
    <col min="23" max="23" width="14.6640625" style="7" bestFit="1" customWidth="1"/>
    <col min="24" max="24" width="18.109375" style="7" bestFit="1" customWidth="1"/>
    <col min="25" max="25" width="17.44140625" style="7" bestFit="1" customWidth="1"/>
    <col min="26" max="26" width="21.21875" style="7" bestFit="1" customWidth="1"/>
    <col min="27" max="27" width="26.77734375" style="7" bestFit="1" customWidth="1"/>
    <col min="28" max="28" width="16.33203125" style="7" bestFit="1" customWidth="1"/>
    <col min="29" max="30" width="2.44140625" style="2"/>
    <col min="31" max="31" width="2.44140625" style="2" customWidth="1"/>
    <col min="32" max="32" width="23.33203125" style="2" bestFit="1" customWidth="1"/>
    <col min="33" max="33" width="2.44140625" style="2" customWidth="1"/>
    <col min="34" max="16384" width="2.44140625" style="2"/>
  </cols>
  <sheetData>
    <row r="2" spans="2:33" s="10" customFormat="1" x14ac:dyDescent="0.4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2:33" s="10" customFormat="1" ht="75.75" x14ac:dyDescent="0.45">
      <c r="B3" s="1"/>
      <c r="C3" s="191" t="e" vm="1">
        <v>#VALUE!</v>
      </c>
      <c r="D3" s="191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  <c r="AA3" s="197" t="e" vm="2">
        <v>#VALUE!</v>
      </c>
      <c r="AB3" s="197"/>
      <c r="AC3" s="1"/>
    </row>
    <row r="4" spans="2:33" s="10" customFormat="1" ht="75.75" x14ac:dyDescent="0.45">
      <c r="B4" s="1"/>
      <c r="C4" s="195" t="s">
        <v>219</v>
      </c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"/>
    </row>
    <row r="5" spans="2:33" s="10" customFormat="1" x14ac:dyDescent="0.4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2:33" s="10" customFormat="1" ht="44.25" x14ac:dyDescent="0.45">
      <c r="B6" s="1"/>
      <c r="C6" s="196" t="s">
        <v>220</v>
      </c>
      <c r="D6" s="196"/>
      <c r="E6" s="196"/>
      <c r="F6" s="196"/>
      <c r="G6" s="196"/>
      <c r="H6" s="1"/>
      <c r="I6" s="196" t="s">
        <v>221</v>
      </c>
      <c r="J6" s="196"/>
      <c r="K6" s="196"/>
      <c r="L6" s="196"/>
      <c r="M6" s="196"/>
      <c r="N6" s="196"/>
      <c r="O6" s="1"/>
      <c r="P6" s="196" t="s">
        <v>222</v>
      </c>
      <c r="Q6" s="196"/>
      <c r="R6" s="196"/>
      <c r="S6" s="196"/>
      <c r="T6" s="196"/>
      <c r="U6" s="196"/>
      <c r="V6" s="196"/>
      <c r="W6" s="196"/>
      <c r="X6" s="196"/>
      <c r="Y6" s="196"/>
      <c r="Z6" s="196"/>
      <c r="AA6" s="196"/>
      <c r="AB6" s="196"/>
      <c r="AC6" s="1"/>
      <c r="AE6" s="11"/>
      <c r="AF6" s="11"/>
      <c r="AG6" s="11"/>
    </row>
    <row r="7" spans="2:33" s="10" customFormat="1" x14ac:dyDescent="0.45">
      <c r="B7" s="1"/>
      <c r="C7" s="26" t="s">
        <v>223</v>
      </c>
      <c r="D7" s="26" t="s">
        <v>20</v>
      </c>
      <c r="E7" s="26" t="s">
        <v>224</v>
      </c>
      <c r="F7" s="26" t="s">
        <v>31</v>
      </c>
      <c r="G7" s="26" t="s">
        <v>32</v>
      </c>
      <c r="H7" s="6"/>
      <c r="I7" s="26" t="s">
        <v>223</v>
      </c>
      <c r="J7" s="26" t="s">
        <v>20</v>
      </c>
      <c r="K7" s="26" t="s">
        <v>21</v>
      </c>
      <c r="L7" s="26" t="s">
        <v>22</v>
      </c>
      <c r="M7" s="26" t="s">
        <v>31</v>
      </c>
      <c r="N7" s="26" t="s">
        <v>32</v>
      </c>
      <c r="O7" s="6"/>
      <c r="P7" s="26" t="s">
        <v>225</v>
      </c>
      <c r="Q7" s="26" t="s">
        <v>226</v>
      </c>
      <c r="R7" s="26" t="s">
        <v>227</v>
      </c>
      <c r="S7" s="26" t="s">
        <v>228</v>
      </c>
      <c r="T7" s="26" t="s">
        <v>229</v>
      </c>
      <c r="U7" s="26" t="s">
        <v>230</v>
      </c>
      <c r="V7" s="26" t="s">
        <v>231</v>
      </c>
      <c r="W7" s="26" t="s">
        <v>232</v>
      </c>
      <c r="X7" s="26" t="s">
        <v>233</v>
      </c>
      <c r="Y7" s="26" t="s">
        <v>234</v>
      </c>
      <c r="Z7" s="26" t="s">
        <v>235</v>
      </c>
      <c r="AA7" s="26" t="s">
        <v>236</v>
      </c>
      <c r="AB7" s="26" t="s">
        <v>237</v>
      </c>
      <c r="AC7" s="1"/>
      <c r="AE7" s="11"/>
      <c r="AF7" s="8" t="s">
        <v>18</v>
      </c>
      <c r="AG7" s="11"/>
    </row>
    <row r="8" spans="2:33" s="10" customFormat="1" x14ac:dyDescent="0.45">
      <c r="B8" s="1"/>
      <c r="C8" s="27">
        <f>ROW()-ROW(Saudi_Regions[[#Headers],[رمز المنطقة الإدارية]])</f>
        <v>1</v>
      </c>
      <c r="D8" s="27" t="s">
        <v>225</v>
      </c>
      <c r="E8" s="27" t="s">
        <v>238</v>
      </c>
      <c r="F8" s="27">
        <f>_xlfn.XLOOKUP(Saudi_Regions[[#This Row],[عاصمة المنطقة الإدارية]],Saudi_Regions_Cities[المدينة],Saudi_Regions_Cities[دائرة العرض (Latitude - N)],"")</f>
        <v>24.633299999999998</v>
      </c>
      <c r="G8" s="27">
        <f>_xlfn.XLOOKUP(Saudi_Regions[[#This Row],[عاصمة المنطقة الإدارية]],Saudi_Regions_Cities[المدينة],Saudi_Regions_Cities[خط الطول (Longitude - E)],"")</f>
        <v>46.716700000000003</v>
      </c>
      <c r="H8" s="6"/>
      <c r="I8" s="27">
        <f>_xlfn.XLOOKUP(Saudi_Regions_Cities[[#This Row],[المنطقة الإدارية]],Saudi_Regions[المنطقة الإدارية],Saudi_Regions[رمز المنطقة الإدارية],"")</f>
        <v>1</v>
      </c>
      <c r="J8" s="27" t="s">
        <v>225</v>
      </c>
      <c r="K8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1001</v>
      </c>
      <c r="L8" s="27" t="s">
        <v>238</v>
      </c>
      <c r="M8" s="27">
        <v>24.633299999999998</v>
      </c>
      <c r="N8" s="27">
        <v>46.716700000000003</v>
      </c>
      <c r="O8" s="6"/>
      <c r="P8" s="27" t="str" cm="1">
        <f t="array" ref="P8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>الرياض</v>
      </c>
      <c r="Q8" s="27" t="str" cm="1">
        <f t="array" ref="Q8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>جدة</v>
      </c>
      <c r="R8" s="27" t="str" cm="1">
        <f t="array" ref="R8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الدمام</v>
      </c>
      <c r="S8" s="27" t="str" cm="1">
        <f t="array" ref="S8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>المدينة المنورة</v>
      </c>
      <c r="T8" s="27" t="str" cm="1">
        <f t="array" ref="T8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>خميس مشيط</v>
      </c>
      <c r="U8" s="27" t="str" cm="1">
        <f t="array" ref="U8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>جازان</v>
      </c>
      <c r="V8" s="27" t="str" cm="1">
        <f t="array" ref="V8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>بريدة</v>
      </c>
      <c r="W8" s="27" t="str" cm="1">
        <f t="array" ref="W8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>تبوك</v>
      </c>
      <c r="X8" s="27" t="str" cm="1">
        <f t="array" ref="X8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>حائل</v>
      </c>
      <c r="Y8" s="27" t="str" cm="1">
        <f t="array" ref="Y8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>سكاكا</v>
      </c>
      <c r="Z8" s="27" t="str" cm="1">
        <f t="array" ref="Z8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>نجران</v>
      </c>
      <c r="AA8" s="27" t="str" cm="1">
        <f t="array" ref="AA8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>عرعر</v>
      </c>
      <c r="AB8" s="27" t="str" cm="1">
        <f t="array" ref="AB8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>الباحة</v>
      </c>
      <c r="AC8" s="1"/>
      <c r="AE8" s="11"/>
      <c r="AF8" s="9" t="s">
        <v>69</v>
      </c>
      <c r="AG8" s="11"/>
    </row>
    <row r="9" spans="2:33" s="10" customFormat="1" x14ac:dyDescent="0.45">
      <c r="B9" s="1"/>
      <c r="C9" s="27">
        <f>ROW()-ROW(Saudi_Regions[[#Headers],[رمز المنطقة الإدارية]])</f>
        <v>2</v>
      </c>
      <c r="D9" s="27" t="s">
        <v>226</v>
      </c>
      <c r="E9" s="27" t="s">
        <v>87</v>
      </c>
      <c r="F9" s="27">
        <f>_xlfn.XLOOKUP(Saudi_Regions[[#This Row],[عاصمة المنطقة الإدارية]],Saudi_Regions_Cities[المدينة],Saudi_Regions_Cities[دائرة العرض (Latitude - N)],"")</f>
        <v>21.422499999999999</v>
      </c>
      <c r="G9" s="27">
        <f>_xlfn.XLOOKUP(Saudi_Regions[[#This Row],[عاصمة المنطقة الإدارية]],Saudi_Regions_Cities[المدينة],Saudi_Regions_Cities[خط الطول (Longitude - E)],"")</f>
        <v>39.823300000000003</v>
      </c>
      <c r="H9" s="6"/>
      <c r="I9" s="27">
        <f>_xlfn.XLOOKUP(Saudi_Regions_Cities[[#This Row],[المنطقة الإدارية]],Saudi_Regions[المنطقة الإدارية],Saudi_Regions[رمز المنطقة الإدارية],"")</f>
        <v>2</v>
      </c>
      <c r="J9" s="27" t="s">
        <v>226</v>
      </c>
      <c r="K9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2001</v>
      </c>
      <c r="L9" s="27" t="s">
        <v>122</v>
      </c>
      <c r="M9" s="27">
        <v>21.543299999999999</v>
      </c>
      <c r="N9" s="27">
        <v>39.172800000000002</v>
      </c>
      <c r="O9" s="6"/>
      <c r="P9" s="27" t="str" cm="1">
        <f t="array" ref="P9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>السيح</v>
      </c>
      <c r="Q9" s="27" t="str" cm="1">
        <f t="array" ref="Q9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>مكة المكرمة</v>
      </c>
      <c r="R9" s="27" t="str" cm="1">
        <f t="array" ref="R9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الهفوف</v>
      </c>
      <c r="S9" s="27" t="str" cm="1">
        <f t="array" ref="S9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>ينبع</v>
      </c>
      <c r="T9" s="27" t="str" cm="1">
        <f t="array" ref="T9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>أبها</v>
      </c>
      <c r="U9" s="27" t="str" cm="1">
        <f t="array" ref="U9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>صبيا</v>
      </c>
      <c r="V9" s="27" t="str" cm="1">
        <f t="array" ref="V9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>عنيزة</v>
      </c>
      <c r="W9" s="27" t="str" cm="1">
        <f t="array" ref="W9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>أملج</v>
      </c>
      <c r="X9" s="27" t="str" cm="1">
        <f t="array" ref="X9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>بقعاء</v>
      </c>
      <c r="Y9" s="27" t="str" cm="1">
        <f t="array" ref="Y9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>القريات</v>
      </c>
      <c r="Z9" s="27" t="str" cm="1">
        <f t="array" ref="Z9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>شرورة</v>
      </c>
      <c r="AA9" s="27" t="str" cm="1">
        <f t="array" ref="AA9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>رفحاء</v>
      </c>
      <c r="AB9" s="27" t="str" cm="1">
        <f t="array" ref="AB9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>بلجرشي</v>
      </c>
      <c r="AC9" s="1"/>
      <c r="AE9" s="11"/>
      <c r="AF9" s="12" t="s">
        <v>76</v>
      </c>
      <c r="AG9" s="11"/>
    </row>
    <row r="10" spans="2:33" x14ac:dyDescent="0.45">
      <c r="B10" s="3"/>
      <c r="C10" s="27">
        <f>ROW()-ROW(Saudi_Regions[[#Headers],[رمز المنطقة الإدارية]])</f>
        <v>3</v>
      </c>
      <c r="D10" s="27" t="s">
        <v>227</v>
      </c>
      <c r="E10" s="27" t="s">
        <v>70</v>
      </c>
      <c r="F10" s="27">
        <f>_xlfn.XLOOKUP(Saudi_Regions[[#This Row],[عاصمة المنطقة الإدارية]],Saudi_Regions_Cities[المدينة],Saudi_Regions_Cities[دائرة العرض (Latitude - N)],"")</f>
        <v>26.433299999999999</v>
      </c>
      <c r="G10" s="27">
        <f>_xlfn.XLOOKUP(Saudi_Regions[[#This Row],[عاصمة المنطقة الإدارية]],Saudi_Regions_Cities[المدينة],Saudi_Regions_Cities[خط الطول (Longitude - E)],"")</f>
        <v>50.1</v>
      </c>
      <c r="H10" s="6"/>
      <c r="I10" s="27">
        <f>_xlfn.XLOOKUP(Saudi_Regions_Cities[[#This Row],[المنطقة الإدارية]],Saudi_Regions[المنطقة الإدارية],Saudi_Regions[رمز المنطقة الإدارية],"")</f>
        <v>2</v>
      </c>
      <c r="J10" s="27" t="s">
        <v>226</v>
      </c>
      <c r="K10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2002</v>
      </c>
      <c r="L10" s="27" t="s">
        <v>87</v>
      </c>
      <c r="M10" s="27">
        <v>21.422499999999999</v>
      </c>
      <c r="N10" s="27">
        <v>39.823300000000003</v>
      </c>
      <c r="O10" s="6"/>
      <c r="P10" s="27" t="str" cm="1">
        <f t="array" ref="P10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>الدوادمي</v>
      </c>
      <c r="Q10" s="27" t="str" cm="1">
        <f t="array" ref="Q10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>الطائف</v>
      </c>
      <c r="R10" s="27" t="str" cm="1">
        <f t="array" ref="R10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الخبر</v>
      </c>
      <c r="S10" s="27" t="str" cm="1">
        <f t="array" ref="S10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>ينبع الصناعية</v>
      </c>
      <c r="T10" s="27" t="str" cm="1">
        <f t="array" ref="T10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>بيشة</v>
      </c>
      <c r="U10" s="27" t="str" cm="1">
        <f t="array" ref="U10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>أبو عريش</v>
      </c>
      <c r="V10" s="27" t="str" cm="1">
        <f t="array" ref="V10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>الرس</v>
      </c>
      <c r="W10" s="27" t="str" cm="1">
        <f t="array" ref="W10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>ضباء</v>
      </c>
      <c r="X10" s="27" t="str" cm="1">
        <f t="array" ref="X10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>الشنان</v>
      </c>
      <c r="Y10" s="27" t="str" cm="1">
        <f t="array" ref="Y10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>طبرجل</v>
      </c>
      <c r="Z10" s="27" t="str" cm="1">
        <f t="array" ref="Z10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>المشعلية</v>
      </c>
      <c r="AA10" s="27" t="str" cm="1">
        <f t="array" ref="AA10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>طريف</v>
      </c>
      <c r="AB10" s="27" t="str" cm="1">
        <f t="array" ref="AB10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>المخواة</v>
      </c>
      <c r="AC10" s="3"/>
      <c r="AD10" s="7"/>
      <c r="AE10" s="11"/>
      <c r="AF10" s="11"/>
      <c r="AG10" s="11"/>
    </row>
    <row r="11" spans="2:33" x14ac:dyDescent="0.45">
      <c r="B11" s="3"/>
      <c r="C11" s="27">
        <f>ROW()-ROW(Saudi_Regions[[#Headers],[رمز المنطقة الإدارية]])</f>
        <v>4</v>
      </c>
      <c r="D11" s="27" t="s">
        <v>228</v>
      </c>
      <c r="E11" s="27" t="s">
        <v>239</v>
      </c>
      <c r="F11" s="27">
        <f>_xlfn.XLOOKUP(Saudi_Regions[[#This Row],[عاصمة المنطقة الإدارية]],Saudi_Regions_Cities[المدينة],Saudi_Regions_Cities[دائرة العرض (Latitude - N)],"")</f>
        <v>24.47</v>
      </c>
      <c r="G11" s="27">
        <f>_xlfn.XLOOKUP(Saudi_Regions[[#This Row],[عاصمة المنطقة الإدارية]],Saudi_Regions_Cities[المدينة],Saudi_Regions_Cities[خط الطول (Longitude - E)],"")</f>
        <v>39.61</v>
      </c>
      <c r="H11" s="6"/>
      <c r="I11" s="27">
        <f>_xlfn.XLOOKUP(Saudi_Regions_Cities[[#This Row],[المنطقة الإدارية]],Saudi_Regions[المنطقة الإدارية],Saudi_Regions[رمز المنطقة الإدارية],"")</f>
        <v>4</v>
      </c>
      <c r="J11" s="27" t="s">
        <v>228</v>
      </c>
      <c r="K11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4001</v>
      </c>
      <c r="L11" s="27" t="s">
        <v>239</v>
      </c>
      <c r="M11" s="27">
        <v>24.47</v>
      </c>
      <c r="N11" s="27">
        <v>39.61</v>
      </c>
      <c r="O11" s="6"/>
      <c r="P11" s="27" t="str" cm="1">
        <f t="array" ref="P11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>وادي الدواسر</v>
      </c>
      <c r="Q11" s="27" t="str" cm="1">
        <f t="array" ref="Q11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>الحوية</v>
      </c>
      <c r="R11" s="27" t="str" cm="1">
        <f t="array" ref="R11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حفر الباطن</v>
      </c>
      <c r="S11" s="27" t="str" cm="1">
        <f t="array" ref="S11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>العُلا</v>
      </c>
      <c r="T11" s="27" t="str" cm="1">
        <f t="array" ref="T11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>محايل عسير</v>
      </c>
      <c r="U11" s="27" t="str" cm="1">
        <f t="array" ref="U11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>صامطة</v>
      </c>
      <c r="V11" s="27" t="str" cm="1">
        <f t="array" ref="V11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>البدائع</v>
      </c>
      <c r="W11" s="27" t="str" cm="1">
        <f t="array" ref="W11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>تيماء</v>
      </c>
      <c r="X11" s="27" t="str" cm="1">
        <f t="array" ref="X11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>الشملي</v>
      </c>
      <c r="Y11" s="27" t="str" cm="1">
        <f t="array" ref="Y11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>دومة الجندل</v>
      </c>
      <c r="Z11" s="27" t="str" cm="1">
        <f t="array" ref="Z11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>حبونا</v>
      </c>
      <c r="AA11" s="27" t="str" cm="1">
        <f t="array" ref="AA11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>العويقيلة</v>
      </c>
      <c r="AB11" s="27" t="str" cm="1">
        <f t="array" ref="AB11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>العقيق</v>
      </c>
      <c r="AC11" s="3"/>
      <c r="AD11" s="7"/>
    </row>
    <row r="12" spans="2:33" s="7" customFormat="1" x14ac:dyDescent="0.45">
      <c r="B12" s="3"/>
      <c r="C12" s="27">
        <f>ROW()-ROW(Saudi_Regions[[#Headers],[رمز المنطقة الإدارية]])</f>
        <v>5</v>
      </c>
      <c r="D12" s="27" t="s">
        <v>229</v>
      </c>
      <c r="E12" s="27" t="s">
        <v>240</v>
      </c>
      <c r="F12" s="27">
        <f>_xlfn.XLOOKUP(Saudi_Regions[[#This Row],[عاصمة المنطقة الإدارية]],Saudi_Regions_Cities[المدينة],Saudi_Regions_Cities[دائرة العرض (Latitude - N)],"")</f>
        <v>18.216899999999999</v>
      </c>
      <c r="G12" s="27">
        <f>_xlfn.XLOOKUP(Saudi_Regions[[#This Row],[عاصمة المنطقة الإدارية]],Saudi_Regions_Cities[المدينة],Saudi_Regions_Cities[خط الطول (Longitude - E)],"")</f>
        <v>42.505299999999998</v>
      </c>
      <c r="H12" s="6"/>
      <c r="I12" s="27">
        <f>_xlfn.XLOOKUP(Saudi_Regions_Cities[[#This Row],[المنطقة الإدارية]],Saudi_Regions[المنطقة الإدارية],Saudi_Regions[رمز المنطقة الإدارية],"")</f>
        <v>3</v>
      </c>
      <c r="J12" s="27" t="s">
        <v>227</v>
      </c>
      <c r="K12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3001</v>
      </c>
      <c r="L12" s="27" t="s">
        <v>70</v>
      </c>
      <c r="M12" s="27">
        <v>26.433299999999999</v>
      </c>
      <c r="N12" s="27">
        <v>50.1</v>
      </c>
      <c r="O12" s="6"/>
      <c r="P12" s="27" t="str" cm="1">
        <f t="array" ref="P12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>المجمعة</v>
      </c>
      <c r="Q12" s="27" t="str" cm="1">
        <f t="array" ref="Q12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>رابغ</v>
      </c>
      <c r="R12" s="27" t="str" cm="1">
        <f t="array" ref="R12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الجبيل</v>
      </c>
      <c r="S12" s="27" t="str" cm="1">
        <f t="array" ref="S12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>بدر</v>
      </c>
      <c r="T12" s="27" t="str" cm="1">
        <f t="array" ref="T12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>أحد رفيدة</v>
      </c>
      <c r="U12" s="27" t="str" cm="1">
        <f t="array" ref="U12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>بيش</v>
      </c>
      <c r="V12" s="27" t="str" cm="1">
        <f t="array" ref="V12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>البكيرية</v>
      </c>
      <c r="W12" s="27" t="str" cm="1">
        <f t="array" ref="W12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>الوجه</v>
      </c>
      <c r="X12" s="27" t="str" cm="1">
        <f t="array" ref="X12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>الحائط</v>
      </c>
      <c r="Y12" s="27" t="str" cm="1">
        <f t="array" ref="Y12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>صوير</v>
      </c>
      <c r="Z12" s="27" t="str" cm="1">
        <f t="array" ref="Z12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>الوديعة (شرورة)</v>
      </c>
      <c r="AA12" s="27" t="str" cm="1">
        <f t="array" ref="AA12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>روضة هباس</v>
      </c>
      <c r="AB12" s="27" t="str" cm="1">
        <f t="array" ref="AB12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>قلوة</v>
      </c>
      <c r="AC12" s="3"/>
    </row>
    <row r="13" spans="2:33" x14ac:dyDescent="0.45">
      <c r="B13" s="3"/>
      <c r="C13" s="27">
        <f>ROW()-ROW(Saudi_Regions[[#Headers],[رمز المنطقة الإدارية]])</f>
        <v>6</v>
      </c>
      <c r="D13" s="27" t="s">
        <v>230</v>
      </c>
      <c r="E13" s="27" t="s">
        <v>241</v>
      </c>
      <c r="F13" s="27">
        <f>_xlfn.XLOOKUP(Saudi_Regions[[#This Row],[عاصمة المنطقة الإدارية]],Saudi_Regions_Cities[المدينة],Saudi_Regions_Cities[دائرة العرض (Latitude - N)],"")</f>
        <v>16.889199999999999</v>
      </c>
      <c r="G13" s="27">
        <f>_xlfn.XLOOKUP(Saudi_Regions[[#This Row],[عاصمة المنطقة الإدارية]],Saudi_Regions_Cities[المدينة],Saudi_Regions_Cities[خط الطول (Longitude - E)],"")</f>
        <v>42.561100000000003</v>
      </c>
      <c r="H13" s="6"/>
      <c r="I13" s="27">
        <f>_xlfn.XLOOKUP(Saudi_Regions_Cities[[#This Row],[المنطقة الإدارية]],Saudi_Regions[المنطقة الإدارية],Saudi_Regions[رمز المنطقة الإدارية],"")</f>
        <v>8</v>
      </c>
      <c r="J13" s="27" t="s">
        <v>232</v>
      </c>
      <c r="K13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8001</v>
      </c>
      <c r="L13" s="27" t="s">
        <v>242</v>
      </c>
      <c r="M13" s="27">
        <v>28.397200000000002</v>
      </c>
      <c r="N13" s="27">
        <v>36.578899999999997</v>
      </c>
      <c r="O13" s="6"/>
      <c r="P13" s="27" t="str" cm="1">
        <f t="array" ref="P13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>الزلفي</v>
      </c>
      <c r="Q13" s="27" t="str" cm="1">
        <f t="array" ref="Q13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>بحرة</v>
      </c>
      <c r="R13" s="27" t="str" cm="1">
        <f t="array" ref="R13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المبرز</v>
      </c>
      <c r="S13" s="27" t="str" cm="1">
        <f t="array" ref="S13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>الحناكية</v>
      </c>
      <c r="T13" s="27" t="str" cm="1">
        <f t="array" ref="T13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>ظهران الجنوب</v>
      </c>
      <c r="U13" s="27" t="str" cm="1">
        <f t="array" ref="U13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>ضمد</v>
      </c>
      <c r="V13" s="27" t="str" cm="1">
        <f t="array" ref="V13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>المذنب</v>
      </c>
      <c r="W13" s="27" t="str" cm="1">
        <f t="array" ref="W13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>حقل</v>
      </c>
      <c r="X13" s="27" t="str" cm="1">
        <f t="array" ref="X13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>الأجفر (بقعاء)</v>
      </c>
      <c r="Y13" s="27" t="str" cm="1">
        <f t="array" ref="Y13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>ميقوع</v>
      </c>
      <c r="Z13" s="27" t="str" cm="1">
        <f t="array" ref="Z13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>خباش</v>
      </c>
      <c r="AA13" s="27" t="str" cm="1">
        <f t="array" ref="AA13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13" s="27" t="str" cm="1">
        <f t="array" ref="AB13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>المندق</v>
      </c>
      <c r="AC13" s="3"/>
      <c r="AD13" s="7"/>
    </row>
    <row r="14" spans="2:33" x14ac:dyDescent="0.45">
      <c r="B14" s="3"/>
      <c r="C14" s="27">
        <f>ROW()-ROW(Saudi_Regions[[#Headers],[رمز المنطقة الإدارية]])</f>
        <v>7</v>
      </c>
      <c r="D14" s="27" t="s">
        <v>231</v>
      </c>
      <c r="E14" s="27" t="s">
        <v>243</v>
      </c>
      <c r="F14" s="27">
        <f>_xlfn.XLOOKUP(Saudi_Regions[[#This Row],[عاصمة المنطقة الإدارية]],Saudi_Regions_Cities[المدينة],Saudi_Regions_Cities[دائرة العرض (Latitude - N)],"")</f>
        <v>26.333300000000001</v>
      </c>
      <c r="G14" s="27">
        <f>_xlfn.XLOOKUP(Saudi_Regions[[#This Row],[عاصمة المنطقة الإدارية]],Saudi_Regions_Cities[المدينة],Saudi_Regions_Cities[خط الطول (Longitude - E)],"")</f>
        <v>43.966700000000003</v>
      </c>
      <c r="H14" s="6"/>
      <c r="I14" s="27">
        <f>_xlfn.XLOOKUP(Saudi_Regions_Cities[[#This Row],[المنطقة الإدارية]],Saudi_Regions[المنطقة الإدارية],Saudi_Regions[رمز المنطقة الإدارية],"")</f>
        <v>7</v>
      </c>
      <c r="J14" s="27" t="s">
        <v>231</v>
      </c>
      <c r="K14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7001</v>
      </c>
      <c r="L14" s="27" t="s">
        <v>243</v>
      </c>
      <c r="M14" s="27">
        <v>26.333300000000001</v>
      </c>
      <c r="N14" s="27">
        <v>43.966700000000003</v>
      </c>
      <c r="O14" s="6"/>
      <c r="P14" s="27" t="str" cm="1">
        <f t="array" ref="P14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>الدرعية</v>
      </c>
      <c r="Q14" s="27" t="str" cm="1">
        <f t="array" ref="Q14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>القنفذة</v>
      </c>
      <c r="R14" s="27" t="str" cm="1">
        <f t="array" ref="R14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الظهران</v>
      </c>
      <c r="S14" s="27" t="str" cm="1">
        <f t="array" ref="S14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>العاقول</v>
      </c>
      <c r="T14" s="27" t="str" cm="1">
        <f t="array" ref="T14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>النماص</v>
      </c>
      <c r="U14" s="27" t="str" cm="1">
        <f t="array" ref="U14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>أحد المسارحة</v>
      </c>
      <c r="V14" s="27" t="str" cm="1">
        <f t="array" ref="V14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>رياض الخبراء</v>
      </c>
      <c r="W14" s="27" t="str" cm="1">
        <f t="array" ref="W14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>البدع</v>
      </c>
      <c r="X14" s="27" t="str" cm="1">
        <f t="array" ref="X14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>جبة</v>
      </c>
      <c r="Y14" s="27" t="str" cm="1">
        <f t="array" ref="Y14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>غطي</v>
      </c>
      <c r="Z14" s="27" t="str" cm="1">
        <f t="array" ref="Z14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14" s="27" t="str" cm="1">
        <f t="array" ref="AA14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14" s="27" t="str" cm="1">
        <f t="array" ref="AB14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>بني حسن</v>
      </c>
      <c r="AC14" s="3"/>
      <c r="AD14" s="7"/>
    </row>
    <row r="15" spans="2:33" x14ac:dyDescent="0.45">
      <c r="B15" s="3"/>
      <c r="C15" s="27">
        <f>ROW()-ROW(Saudi_Regions[[#Headers],[رمز المنطقة الإدارية]])</f>
        <v>8</v>
      </c>
      <c r="D15" s="27" t="s">
        <v>232</v>
      </c>
      <c r="E15" s="27" t="s">
        <v>242</v>
      </c>
      <c r="F15" s="27">
        <f>_xlfn.XLOOKUP(Saudi_Regions[[#This Row],[عاصمة المنطقة الإدارية]],Saudi_Regions_Cities[المدينة],Saudi_Regions_Cities[دائرة العرض (Latitude - N)],"")</f>
        <v>28.397200000000002</v>
      </c>
      <c r="G15" s="27">
        <f>_xlfn.XLOOKUP(Saudi_Regions[[#This Row],[عاصمة المنطقة الإدارية]],Saudi_Regions_Cities[المدينة],Saudi_Regions_Cities[خط الطول (Longitude - E)],"")</f>
        <v>36.578899999999997</v>
      </c>
      <c r="H15" s="6"/>
      <c r="I15" s="27">
        <f>_xlfn.XLOOKUP(Saudi_Regions_Cities[[#This Row],[المنطقة الإدارية]],Saudi_Regions[المنطقة الإدارية],Saudi_Regions[رمز المنطقة الإدارية],"")</f>
        <v>2</v>
      </c>
      <c r="J15" s="27" t="s">
        <v>226</v>
      </c>
      <c r="K15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2003</v>
      </c>
      <c r="L15" s="27" t="s">
        <v>244</v>
      </c>
      <c r="M15" s="27">
        <v>21.275099999999998</v>
      </c>
      <c r="N15" s="27">
        <v>40.406199999999998</v>
      </c>
      <c r="O15" s="6"/>
      <c r="P15" s="27" t="str" cm="1">
        <f t="array" ref="P15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>المزاحمية</v>
      </c>
      <c r="Q15" s="27" t="str" cm="1">
        <f t="array" ref="Q15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>الجموم</v>
      </c>
      <c r="R15" s="27" t="str" cm="1">
        <f t="array" ref="R15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تاروت</v>
      </c>
      <c r="S15" s="27" t="str" cm="1">
        <f t="array" ref="S15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>مهد الذهب</v>
      </c>
      <c r="T15" s="27" t="str" cm="1">
        <f t="array" ref="T15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>المجاردة</v>
      </c>
      <c r="U15" s="27" t="str" cm="1">
        <f t="array" ref="U15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>الدائر</v>
      </c>
      <c r="V15" s="27" t="str" cm="1">
        <f t="array" ref="V15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>الخبراء</v>
      </c>
      <c r="W15" s="27" t="str" cm="1">
        <f t="array" ref="W15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15" s="27" t="str" cm="1">
        <f t="array" ref="X15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>الغزالة</v>
      </c>
      <c r="Y15" s="27" t="str" cm="1">
        <f t="array" ref="Y15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>أبو عجرم</v>
      </c>
      <c r="Z15" s="27" t="str" cm="1">
        <f t="array" ref="Z15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15" s="27" t="str" cm="1">
        <f t="array" ref="AA15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15" s="27" t="str" cm="1">
        <f t="array" ref="AB15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>القرى</v>
      </c>
      <c r="AC15" s="3"/>
      <c r="AD15" s="7"/>
    </row>
    <row r="16" spans="2:33" x14ac:dyDescent="0.45">
      <c r="B16" s="3"/>
      <c r="C16" s="27">
        <f>ROW()-ROW(Saudi_Regions[[#Headers],[رمز المنطقة الإدارية]])</f>
        <v>9</v>
      </c>
      <c r="D16" s="27" t="s">
        <v>233</v>
      </c>
      <c r="E16" s="27" t="s">
        <v>245</v>
      </c>
      <c r="F16" s="27">
        <f>_xlfn.XLOOKUP(Saudi_Regions[[#This Row],[عاصمة المنطقة الإدارية]],Saudi_Regions_Cities[المدينة],Saudi_Regions_Cities[دائرة العرض (Latitude - N)],"")</f>
        <v>27.5167</v>
      </c>
      <c r="G16" s="27">
        <f>_xlfn.XLOOKUP(Saudi_Regions[[#This Row],[عاصمة المنطقة الإدارية]],Saudi_Regions_Cities[المدينة],Saudi_Regions_Cities[خط الطول (Longitude - E)],"")</f>
        <v>41.683300000000003</v>
      </c>
      <c r="H16" s="6"/>
      <c r="I16" s="27">
        <f>_xlfn.XLOOKUP(Saudi_Regions_Cities[[#This Row],[المنطقة الإدارية]],Saudi_Regions[المنطقة الإدارية],Saudi_Regions[رمز المنطقة الإدارية],"")</f>
        <v>5</v>
      </c>
      <c r="J16" s="27" t="s">
        <v>229</v>
      </c>
      <c r="K16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5001</v>
      </c>
      <c r="L16" s="27" t="s">
        <v>246</v>
      </c>
      <c r="M16" s="27">
        <v>18.3</v>
      </c>
      <c r="N16" s="27">
        <v>42.7333</v>
      </c>
      <c r="O16" s="6"/>
      <c r="P16" s="27" t="str" cm="1">
        <f t="array" ref="P16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>عفيف</v>
      </c>
      <c r="Q16" s="27" t="str" cm="1">
        <f t="array" ref="Q16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>تربة</v>
      </c>
      <c r="R16" s="27" t="str" cm="1">
        <f t="array" ref="R16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القطيف</v>
      </c>
      <c r="S16" s="27" t="str" cm="1">
        <f t="array" ref="S16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>خيبر</v>
      </c>
      <c r="T16" s="27" t="str" cm="1">
        <f t="array" ref="T16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>العلاية</v>
      </c>
      <c r="U16" s="27" t="str" cm="1">
        <f t="array" ref="U16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>الحصمة</v>
      </c>
      <c r="V16" s="27" t="str" cm="1">
        <f t="array" ref="V16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>عيون الجواء</v>
      </c>
      <c r="W16" s="27" t="str" cm="1">
        <f t="array" ref="W16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16" s="27" t="str" cm="1">
        <f t="array" ref="X16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16" s="27" t="str" cm="1">
        <f t="array" ref="Y16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>فياض طبرجل</v>
      </c>
      <c r="Z16" s="27" t="str" cm="1">
        <f t="array" ref="Z16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16" s="27" t="str" cm="1">
        <f t="array" ref="AA16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16" s="27" t="str" cm="1">
        <f t="array" ref="AB16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>الحجرة</v>
      </c>
      <c r="AC16" s="3"/>
      <c r="AD16" s="7"/>
    </row>
    <row r="17" spans="2:30" x14ac:dyDescent="0.45">
      <c r="B17" s="3"/>
      <c r="C17" s="27">
        <f>ROW()-ROW(Saudi_Regions[[#Headers],[رمز المنطقة الإدارية]])</f>
        <v>10</v>
      </c>
      <c r="D17" s="27" t="s">
        <v>234</v>
      </c>
      <c r="E17" s="27" t="s">
        <v>247</v>
      </c>
      <c r="F17" s="27">
        <f>_xlfn.XLOOKUP(Saudi_Regions[[#This Row],[عاصمة المنطقة الإدارية]],Saudi_Regions_Cities[المدينة],Saudi_Regions_Cities[دائرة العرض (Latitude - N)],"")</f>
        <v>29.9697</v>
      </c>
      <c r="G17" s="27">
        <f>_xlfn.XLOOKUP(Saudi_Regions[[#This Row],[عاصمة المنطقة الإدارية]],Saudi_Regions_Cities[المدينة],Saudi_Regions_Cities[خط الطول (Longitude - E)],"")</f>
        <v>40.200000000000003</v>
      </c>
      <c r="H17" s="6"/>
      <c r="I17" s="27">
        <f>_xlfn.XLOOKUP(Saudi_Regions_Cities[[#This Row],[المنطقة الإدارية]],Saudi_Regions[المنطقة الإدارية],Saudi_Regions[رمز المنطقة الإدارية],"")</f>
        <v>9</v>
      </c>
      <c r="J17" s="27" t="s">
        <v>233</v>
      </c>
      <c r="K17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9001</v>
      </c>
      <c r="L17" s="27" t="s">
        <v>245</v>
      </c>
      <c r="M17" s="27">
        <v>27.5167</v>
      </c>
      <c r="N17" s="27">
        <v>41.683300000000003</v>
      </c>
      <c r="O17" s="6"/>
      <c r="P17" s="27" t="str" cm="1">
        <f t="array" ref="P17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>عرقة</v>
      </c>
      <c r="Q17" s="27" t="str" cm="1">
        <f t="array" ref="Q17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>رنية</v>
      </c>
      <c r="R17" s="27" t="str" cm="1">
        <f t="array" ref="R17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سيهات</v>
      </c>
      <c r="S17" s="27" t="str" cm="1">
        <f t="array" ref="S17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>العيص</v>
      </c>
      <c r="T17" s="27" t="str" cm="1">
        <f t="array" ref="T17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>سراة عبيدة</v>
      </c>
      <c r="U17" s="27" t="str" cm="1">
        <f t="array" ref="U17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>الظبية</v>
      </c>
      <c r="V17" s="27" t="str" cm="1">
        <f t="array" ref="V17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>قبة</v>
      </c>
      <c r="W17" s="27" t="str" cm="1">
        <f t="array" ref="W17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17" s="27" t="str" cm="1">
        <f t="array" ref="X17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17" s="27" t="str" cm="1">
        <f t="array" ref="Y17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>النبك أبو قصر</v>
      </c>
      <c r="Z17" s="27" t="str" cm="1">
        <f t="array" ref="Z17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17" s="27" t="str" cm="1">
        <f t="array" ref="AA17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17" s="27" t="str" cm="1">
        <f t="array" ref="AB17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>بني سار</v>
      </c>
      <c r="AC17" s="3"/>
      <c r="AD17" s="7"/>
    </row>
    <row r="18" spans="2:30" x14ac:dyDescent="0.45">
      <c r="B18" s="3"/>
      <c r="C18" s="27">
        <f>ROW()-ROW(Saudi_Regions[[#Headers],[رمز المنطقة الإدارية]])</f>
        <v>11</v>
      </c>
      <c r="D18" s="27" t="s">
        <v>235</v>
      </c>
      <c r="E18" s="27" t="s">
        <v>248</v>
      </c>
      <c r="F18" s="27">
        <f>_xlfn.XLOOKUP(Saudi_Regions[[#This Row],[عاصمة المنطقة الإدارية]],Saudi_Regions_Cities[المدينة],Saudi_Regions_Cities[دائرة العرض (Latitude - N)],"")</f>
        <v>17.491700000000002</v>
      </c>
      <c r="G18" s="27">
        <f>_xlfn.XLOOKUP(Saudi_Regions[[#This Row],[عاصمة المنطقة الإدارية]],Saudi_Regions_Cities[المدينة],Saudi_Regions_Cities[خط الطول (Longitude - E)],"")</f>
        <v>44.132199999999997</v>
      </c>
      <c r="H18" s="6"/>
      <c r="I18" s="27">
        <f>_xlfn.XLOOKUP(Saudi_Regions_Cities[[#This Row],[المنطقة الإدارية]],Saudi_Regions[المنطقة الإدارية],Saudi_Regions[رمز المنطقة الإدارية],"")</f>
        <v>3</v>
      </c>
      <c r="J18" s="27" t="s">
        <v>227</v>
      </c>
      <c r="K18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3002</v>
      </c>
      <c r="L18" s="27" t="s">
        <v>249</v>
      </c>
      <c r="M18" s="27">
        <v>25.383299999999998</v>
      </c>
      <c r="N18" s="27">
        <v>49.583300000000001</v>
      </c>
      <c r="O18" s="6"/>
      <c r="P18" s="27" t="str" cm="1">
        <f t="array" ref="P18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>الدلم</v>
      </c>
      <c r="Q18" s="27" t="str" cm="1">
        <f t="array" ref="Q18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>الخرمة</v>
      </c>
      <c r="R18" s="27" t="str" cm="1">
        <f t="array" ref="R18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الخفجي</v>
      </c>
      <c r="S18" s="27" t="str" cm="1">
        <f t="array" ref="S18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>الثمد</v>
      </c>
      <c r="T18" s="27" t="str" cm="1">
        <f t="array" ref="T18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>تثليث</v>
      </c>
      <c r="U18" s="27" t="str" cm="1">
        <f t="array" ref="U18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>العارضة</v>
      </c>
      <c r="V18" s="27" t="str" cm="1">
        <f t="array" ref="V18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>عقلة الصقور</v>
      </c>
      <c r="W18" s="27" t="str" cm="1">
        <f t="array" ref="W18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18" s="27" t="str" cm="1">
        <f t="array" ref="X18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18" s="27" t="str" cm="1">
        <f t="array" ref="Y18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>زلوم</v>
      </c>
      <c r="Z18" s="27" t="str" cm="1">
        <f t="array" ref="Z18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18" s="27" t="str" cm="1">
        <f t="array" ref="AA18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18" s="27" t="str" cm="1">
        <f t="array" ref="AB18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>مركز بالشهم</v>
      </c>
      <c r="AC18" s="3"/>
      <c r="AD18" s="7"/>
    </row>
    <row r="19" spans="2:30" x14ac:dyDescent="0.45">
      <c r="B19" s="3"/>
      <c r="C19" s="27">
        <f>ROW()-ROW(Saudi_Regions[[#Headers],[رمز المنطقة الإدارية]])</f>
        <v>12</v>
      </c>
      <c r="D19" s="27" t="s">
        <v>236</v>
      </c>
      <c r="E19" s="27" t="s">
        <v>250</v>
      </c>
      <c r="F19" s="27">
        <f>_xlfn.XLOOKUP(Saudi_Regions[[#This Row],[عاصمة المنطقة الإدارية]],Saudi_Regions_Cities[المدينة],Saudi_Regions_Cities[دائرة العرض (Latitude - N)],"")</f>
        <v>30.975300000000001</v>
      </c>
      <c r="G19" s="27">
        <f>_xlfn.XLOOKUP(Saudi_Regions[[#This Row],[عاصمة المنطقة الإدارية]],Saudi_Regions_Cities[المدينة],Saudi_Regions_Cities[خط الطول (Longitude - E)],"")</f>
        <v>41.023099999999999</v>
      </c>
      <c r="H19" s="6"/>
      <c r="I19" s="27">
        <f>_xlfn.XLOOKUP(Saudi_Regions_Cities[[#This Row],[المنطقة الإدارية]],Saudi_Regions[المنطقة الإدارية],Saudi_Regions[رمز المنطقة الإدارية],"")</f>
        <v>3</v>
      </c>
      <c r="J19" s="27" t="s">
        <v>227</v>
      </c>
      <c r="K19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3003</v>
      </c>
      <c r="L19" s="27" t="s">
        <v>92</v>
      </c>
      <c r="M19" s="27">
        <v>26.283300000000001</v>
      </c>
      <c r="N19" s="27">
        <v>50.2</v>
      </c>
      <c r="O19" s="6"/>
      <c r="P19" s="27" t="str" cm="1">
        <f t="array" ref="P19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>شقراء</v>
      </c>
      <c r="Q19" s="27" t="str" cm="1">
        <f t="array" ref="Q19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>ثول</v>
      </c>
      <c r="R19" s="27" t="str" cm="1">
        <f t="array" ref="R19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رأس تنورة</v>
      </c>
      <c r="S19" s="27" t="str" cm="1">
        <f t="array" ref="S19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19" s="27" t="str" cm="1">
        <f t="array" ref="T19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>تنومة</v>
      </c>
      <c r="U19" s="27" t="str" cm="1">
        <f t="array" ref="U19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>العيدابي</v>
      </c>
      <c r="V19" s="27" t="str" cm="1">
        <f t="array" ref="V19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>المليداء</v>
      </c>
      <c r="W19" s="27" t="str" cm="1">
        <f t="array" ref="W19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19" s="27" t="str" cm="1">
        <f t="array" ref="X19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19" s="27" t="str" cm="1">
        <f t="array" ref="Y19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>العيساوية</v>
      </c>
      <c r="Z19" s="27" t="str" cm="1">
        <f t="array" ref="Z19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19" s="27" t="str" cm="1">
        <f t="array" ref="AA19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19" s="27" t="str" cm="1">
        <f t="array" ref="AB19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>مركز بني ظبيان</v>
      </c>
      <c r="AC19" s="3"/>
      <c r="AD19" s="7"/>
    </row>
    <row r="20" spans="2:30" x14ac:dyDescent="0.45">
      <c r="B20" s="3"/>
      <c r="C20" s="27">
        <f>ROW()-ROW(Saudi_Regions[[#Headers],[رمز المنطقة الإدارية]])</f>
        <v>13</v>
      </c>
      <c r="D20" s="27" t="s">
        <v>237</v>
      </c>
      <c r="E20" s="27" t="s">
        <v>251</v>
      </c>
      <c r="F20" s="27">
        <f>_xlfn.XLOOKUP(Saudi_Regions[[#This Row],[عاصمة المنطقة الإدارية]],Saudi_Regions_Cities[المدينة],Saudi_Regions_Cities[دائرة العرض (Latitude - N)],"")</f>
        <v>20.012499999999999</v>
      </c>
      <c r="G20" s="27">
        <f>_xlfn.XLOOKUP(Saudi_Regions[[#This Row],[عاصمة المنطقة الإدارية]],Saudi_Regions_Cities[المدينة],Saudi_Regions_Cities[خط الطول (Longitude - E)],"")</f>
        <v>41.465299999999999</v>
      </c>
      <c r="H20" s="6"/>
      <c r="I20" s="27">
        <f>_xlfn.XLOOKUP(Saudi_Regions_Cities[[#This Row],[المنطقة الإدارية]],Saudi_Regions[المنطقة الإدارية],Saudi_Regions[رمز المنطقة الإدارية],"")</f>
        <v>3</v>
      </c>
      <c r="J20" s="27" t="s">
        <v>227</v>
      </c>
      <c r="K20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3004</v>
      </c>
      <c r="L20" s="27" t="s">
        <v>252</v>
      </c>
      <c r="M20" s="27">
        <v>28.434200000000001</v>
      </c>
      <c r="N20" s="27">
        <v>45.9636</v>
      </c>
      <c r="O20" s="6"/>
      <c r="P20" s="27" t="str" cm="1">
        <f t="array" ref="P20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>حوطة بني تميم</v>
      </c>
      <c r="Q20" s="27" t="str" cm="1">
        <f t="array" ref="Q20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>القوز</v>
      </c>
      <c r="R20" s="27" t="str" cm="1">
        <f t="array" ref="R20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صفوى</v>
      </c>
      <c r="S20" s="27" t="str" cm="1">
        <f t="array" ref="S20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20" s="27" t="str" cm="1">
        <f t="array" ref="T20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>بحر أبو سكينة (خميس البحر)</v>
      </c>
      <c r="U20" s="27" t="str" cm="1">
        <f t="array" ref="U20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>فرسان</v>
      </c>
      <c r="V20" s="27" t="str" cm="1">
        <f t="array" ref="V20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>عين بن فهيد</v>
      </c>
      <c r="W20" s="27" t="str" cm="1">
        <f t="array" ref="W20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20" s="27" t="str" cm="1">
        <f t="array" ref="X20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20" s="27" t="str" cm="1">
        <f t="array" ref="Y20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>الناصفة</v>
      </c>
      <c r="Z20" s="27" t="str" cm="1">
        <f t="array" ref="Z20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20" s="27" t="str" cm="1">
        <f t="array" ref="AA20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20" s="27" t="str" cm="1">
        <f t="array" ref="AB20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>مركز بني كبير</v>
      </c>
      <c r="AC20" s="3"/>
      <c r="AD20" s="7"/>
    </row>
    <row r="21" spans="2:30" x14ac:dyDescent="0.45">
      <c r="B21" s="3"/>
      <c r="C21" s="6"/>
      <c r="D21" s="6"/>
      <c r="E21" s="6"/>
      <c r="F21" s="6"/>
      <c r="G21" s="6"/>
      <c r="H21" s="6"/>
      <c r="I21" s="27">
        <f>_xlfn.XLOOKUP(Saudi_Regions_Cities[[#This Row],[المنطقة الإدارية]],Saudi_Regions[المنطقة الإدارية],Saudi_Regions[رمز المنطقة الإدارية],"")</f>
        <v>11</v>
      </c>
      <c r="J21" s="27" t="s">
        <v>235</v>
      </c>
      <c r="K21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11001</v>
      </c>
      <c r="L21" s="27" t="s">
        <v>248</v>
      </c>
      <c r="M21" s="27">
        <v>17.491700000000002</v>
      </c>
      <c r="N21" s="27">
        <v>44.132199999999997</v>
      </c>
      <c r="O21" s="6"/>
      <c r="P21" s="27" t="str" cm="1">
        <f t="array" ref="P21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>ليلى</v>
      </c>
      <c r="Q21" s="27" t="str" cm="1">
        <f t="array" ref="Q21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>الليث</v>
      </c>
      <c r="R21" s="27" t="str" cm="1">
        <f t="array" ref="R21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بقيق</v>
      </c>
      <c r="S21" s="27" t="str" cm="1">
        <f t="array" ref="S21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21" s="27" t="str" cm="1">
        <f t="array" ref="T21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>فرعة طريب</v>
      </c>
      <c r="U21" s="27" t="str" cm="1">
        <f t="array" ref="U21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>أبو السداد</v>
      </c>
      <c r="V21" s="27" t="str" cm="1">
        <f t="array" ref="V21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>دخنة</v>
      </c>
      <c r="W21" s="27" t="str" cm="1">
        <f t="array" ref="W21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21" s="27" t="str" cm="1">
        <f t="array" ref="X21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21" s="27" t="str" cm="1">
        <f t="array" ref="Y21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>الحديثة</v>
      </c>
      <c r="Z21" s="27" t="str" cm="1">
        <f t="array" ref="Z21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21" s="27" t="str" cm="1">
        <f t="array" ref="AA21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21" s="27" t="str" cm="1">
        <f t="array" ref="AB21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>غامد الزناد</v>
      </c>
      <c r="AC21" s="3"/>
      <c r="AD21" s="7"/>
    </row>
    <row r="22" spans="2:30" x14ac:dyDescent="0.45">
      <c r="B22" s="3"/>
      <c r="C22" s="6"/>
      <c r="D22" s="6"/>
      <c r="E22" s="6"/>
      <c r="F22" s="6"/>
      <c r="G22" s="6"/>
      <c r="H22" s="6"/>
      <c r="I22" s="27">
        <f>_xlfn.XLOOKUP(Saudi_Regions_Cities[[#This Row],[المنطقة الإدارية]],Saudi_Regions[المنطقة الإدارية],Saudi_Regions[رمز المنطقة الإدارية],"")</f>
        <v>5</v>
      </c>
      <c r="J22" s="27" t="s">
        <v>229</v>
      </c>
      <c r="K22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5002</v>
      </c>
      <c r="L22" s="27" t="s">
        <v>240</v>
      </c>
      <c r="M22" s="27">
        <v>18.216899999999999</v>
      </c>
      <c r="N22" s="27">
        <v>42.505299999999998</v>
      </c>
      <c r="O22" s="6"/>
      <c r="P22" s="27" t="str" cm="1">
        <f t="array" ref="P22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>القويعية</v>
      </c>
      <c r="Q22" s="27" t="str" cm="1">
        <f t="array" ref="Q22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>خليص</v>
      </c>
      <c r="R22" s="27" t="str" cm="1">
        <f t="array" ref="R22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النعيرية</v>
      </c>
      <c r="S22" s="27" t="str" cm="1">
        <f t="array" ref="S22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22" s="27" t="str" cm="1">
        <f t="array" ref="T22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>الواديين (أحد رفيدة)</v>
      </c>
      <c r="U22" s="27" t="str" cm="1">
        <f t="array" ref="U22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>العالية</v>
      </c>
      <c r="V22" s="27" t="str" cm="1">
        <f t="array" ref="V22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>الشماسية</v>
      </c>
      <c r="W22" s="27" t="str" cm="1">
        <f t="array" ref="W22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22" s="27" t="str" cm="1">
        <f t="array" ref="X22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22" s="27" t="str" cm="1">
        <f t="array" ref="Y22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/>
      </c>
      <c r="Z22" s="27" t="str" cm="1">
        <f t="array" ref="Z22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22" s="27" t="str" cm="1">
        <f t="array" ref="AA22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22" s="27" t="str" cm="1">
        <f t="array" ref="AB22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>قرن ظبي</v>
      </c>
      <c r="AC22" s="3"/>
      <c r="AD22" s="7"/>
    </row>
    <row r="23" spans="2:30" x14ac:dyDescent="0.45">
      <c r="B23" s="3"/>
      <c r="C23" s="6"/>
      <c r="D23" s="6"/>
      <c r="E23" s="6"/>
      <c r="F23" s="6"/>
      <c r="G23" s="6"/>
      <c r="H23" s="6"/>
      <c r="I23" s="27">
        <f>_xlfn.XLOOKUP(Saudi_Regions_Cities[[#This Row],[المنطقة الإدارية]],Saudi_Regions[المنطقة الإدارية],Saudi_Regions[رمز المنطقة الإدارية],"")</f>
        <v>3</v>
      </c>
      <c r="J23" s="27" t="s">
        <v>227</v>
      </c>
      <c r="K23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3005</v>
      </c>
      <c r="L23" s="27" t="s">
        <v>117</v>
      </c>
      <c r="M23" s="27">
        <v>27</v>
      </c>
      <c r="N23" s="27">
        <v>49.654400000000003</v>
      </c>
      <c r="O23" s="6"/>
      <c r="P23" s="27" t="str" cm="1">
        <f t="array" ref="P23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>السليل</v>
      </c>
      <c r="Q23" s="27" t="str" cm="1">
        <f t="array" ref="Q23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>السيل الصغير</v>
      </c>
      <c r="R23" s="27" t="str" cm="1">
        <f t="array" ref="R23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العيون</v>
      </c>
      <c r="S23" s="27" t="str" cm="1">
        <f t="array" ref="S23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23" s="27" t="str" cm="1">
        <f t="array" ref="T23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>آل ريحان (تثليث)</v>
      </c>
      <c r="U23" s="27" t="str" cm="1">
        <f t="array" ref="U23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>الخارش</v>
      </c>
      <c r="V23" s="27" t="str" cm="1">
        <f t="array" ref="V23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>القوارة</v>
      </c>
      <c r="W23" s="27" t="str" cm="1">
        <f t="array" ref="W23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23" s="27" t="str" cm="1">
        <f t="array" ref="X23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23" s="27" t="str" cm="1">
        <f t="array" ref="Y23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/>
      </c>
      <c r="Z23" s="27" t="str" cm="1">
        <f t="array" ref="Z23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23" s="27" t="str" cm="1">
        <f t="array" ref="AA23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23" s="27" t="str" cm="1">
        <f t="array" ref="AB23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>بالخزمر</v>
      </c>
      <c r="AC23" s="3"/>
      <c r="AD23" s="7"/>
    </row>
    <row r="24" spans="2:30" x14ac:dyDescent="0.45">
      <c r="B24" s="3"/>
      <c r="C24" s="6"/>
      <c r="D24" s="6"/>
      <c r="E24" s="6"/>
      <c r="F24" s="6"/>
      <c r="G24" s="6"/>
      <c r="H24" s="6"/>
      <c r="I24" s="27">
        <f>_xlfn.XLOOKUP(Saudi_Regions_Cities[[#This Row],[المنطقة الإدارية]],Saudi_Regions[المنطقة الإدارية],Saudi_Regions[رمز المنطقة الإدارية],"")</f>
        <v>3</v>
      </c>
      <c r="J24" s="27" t="s">
        <v>227</v>
      </c>
      <c r="K24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3006</v>
      </c>
      <c r="L24" s="27" t="s">
        <v>253</v>
      </c>
      <c r="M24" s="27">
        <v>25.383299999999998</v>
      </c>
      <c r="N24" s="27">
        <v>49.6</v>
      </c>
      <c r="O24" s="6"/>
      <c r="P24" s="27" t="str" cm="1">
        <f t="array" ref="P24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>رماح</v>
      </c>
      <c r="Q24" s="27" t="str" cm="1">
        <f t="array" ref="Q24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>المظيلف</v>
      </c>
      <c r="R24" s="27" t="str" cm="1">
        <f t="array" ref="R24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الطرف</v>
      </c>
      <c r="S24" s="27" t="str" cm="1">
        <f t="array" ref="S24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24" s="27" t="str" cm="1">
        <f t="array" ref="T24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>الاثنين</v>
      </c>
      <c r="U24" s="27" t="str" cm="1">
        <f t="array" ref="U24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>البديع والقرفي</v>
      </c>
      <c r="V24" s="27" t="str" cm="1">
        <f t="array" ref="V24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>قصر ابن عقيل</v>
      </c>
      <c r="W24" s="27" t="str" cm="1">
        <f t="array" ref="W24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24" s="27" t="str" cm="1">
        <f t="array" ref="X24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24" s="27" t="str" cm="1">
        <f t="array" ref="Y24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/>
      </c>
      <c r="Z24" s="27" t="str" cm="1">
        <f t="array" ref="Z24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24" s="27" t="str" cm="1">
        <f t="array" ref="AA24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24" s="27" t="str" cm="1">
        <f t="array" ref="AB24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/>
      </c>
      <c r="AC24" s="3"/>
      <c r="AD24" s="7"/>
    </row>
    <row r="25" spans="2:30" x14ac:dyDescent="0.45">
      <c r="B25" s="3"/>
      <c r="C25" s="6"/>
      <c r="D25" s="6"/>
      <c r="E25" s="6"/>
      <c r="F25" s="6"/>
      <c r="G25" s="6"/>
      <c r="H25" s="6"/>
      <c r="I25" s="27">
        <f>_xlfn.XLOOKUP(Saudi_Regions_Cities[[#This Row],[المنطقة الإدارية]],Saudi_Regions[المنطقة الإدارية],Saudi_Regions[رمز المنطقة الإدارية],"")</f>
        <v>1</v>
      </c>
      <c r="J25" s="27" t="s">
        <v>225</v>
      </c>
      <c r="K25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1002</v>
      </c>
      <c r="L25" s="27" t="s">
        <v>254</v>
      </c>
      <c r="M25" s="27"/>
      <c r="N25" s="27"/>
      <c r="O25" s="6"/>
      <c r="P25" s="27" t="str" cm="1">
        <f t="array" ref="P25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>ضرما</v>
      </c>
      <c r="Q25" s="27" t="str" cm="1">
        <f t="array" ref="Q25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>عشيرة</v>
      </c>
      <c r="R25" s="27" t="str" cm="1">
        <f t="array" ref="R25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القيصومة</v>
      </c>
      <c r="S25" s="27" t="str" cm="1">
        <f t="array" ref="S25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25" s="27" t="str" cm="1">
        <f t="array" ref="T25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>الجنفور</v>
      </c>
      <c r="U25" s="27" t="str" cm="1">
        <f t="array" ref="U25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>رمادة (أحد المسارحة)</v>
      </c>
      <c r="V25" s="27" t="str" cm="1">
        <f t="array" ref="V25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>ضرية</v>
      </c>
      <c r="W25" s="27" t="str" cm="1">
        <f t="array" ref="W25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25" s="27" t="str" cm="1">
        <f t="array" ref="X25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25" s="27" t="str" cm="1">
        <f t="array" ref="Y25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/>
      </c>
      <c r="Z25" s="27" t="str" cm="1">
        <f t="array" ref="Z25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25" s="27" t="str" cm="1">
        <f t="array" ref="AA25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25" s="27" t="str" cm="1">
        <f t="array" ref="AB25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/>
      </c>
      <c r="AC25" s="3"/>
      <c r="AD25" s="7"/>
    </row>
    <row r="26" spans="2:30" x14ac:dyDescent="0.45">
      <c r="B26" s="3"/>
      <c r="C26" s="6"/>
      <c r="D26" s="6"/>
      <c r="E26" s="6"/>
      <c r="F26" s="6"/>
      <c r="G26" s="6"/>
      <c r="H26" s="6"/>
      <c r="I26" s="27">
        <f>_xlfn.XLOOKUP(Saudi_Regions_Cities[[#This Row],[المنطقة الإدارية]],Saudi_Regions[المنطقة الإدارية],Saudi_Regions[رمز المنطقة الإدارية],"")</f>
        <v>4</v>
      </c>
      <c r="J26" s="27" t="s">
        <v>228</v>
      </c>
      <c r="K26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4002</v>
      </c>
      <c r="L26" s="27" t="s">
        <v>131</v>
      </c>
      <c r="M26" s="27">
        <v>24.0883</v>
      </c>
      <c r="N26" s="27">
        <v>38.058199999999999</v>
      </c>
      <c r="O26" s="6"/>
      <c r="P26" s="27" t="str" cm="1">
        <f t="array" ref="P26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>ساجر</v>
      </c>
      <c r="Q26" s="27" t="str" cm="1">
        <f t="array" ref="Q26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>ذهبان</v>
      </c>
      <c r="R26" s="27" t="str" cm="1">
        <f t="array" ref="R26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العوامية</v>
      </c>
      <c r="S26" s="27" t="str" cm="1">
        <f t="array" ref="S26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26" s="27" t="str" cm="1">
        <f t="array" ref="T26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>سنعبرة (خميس مشيط)</v>
      </c>
      <c r="U26" s="27" t="str" cm="1">
        <f t="array" ref="U26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>العسيلة (أبو عريش)</v>
      </c>
      <c r="V26" s="27" t="str" cm="1">
        <f t="array" ref="V26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>الشقة العليا</v>
      </c>
      <c r="W26" s="27" t="str" cm="1">
        <f t="array" ref="W26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26" s="27" t="str" cm="1">
        <f t="array" ref="X26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26" s="27" t="str" cm="1">
        <f t="array" ref="Y26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/>
      </c>
      <c r="Z26" s="27" t="str" cm="1">
        <f t="array" ref="Z26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26" s="27" t="str" cm="1">
        <f t="array" ref="AA26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26" s="27" t="str" cm="1">
        <f t="array" ref="AB26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/>
      </c>
      <c r="AC26" s="3"/>
      <c r="AD26" s="7"/>
    </row>
    <row r="27" spans="2:30" x14ac:dyDescent="0.45">
      <c r="B27" s="3"/>
      <c r="C27" s="6"/>
      <c r="D27" s="6"/>
      <c r="E27" s="6"/>
      <c r="F27" s="6"/>
      <c r="G27" s="6"/>
      <c r="H27" s="6"/>
      <c r="I27" s="27">
        <f>_xlfn.XLOOKUP(Saudi_Regions_Cities[[#This Row],[المنطقة الإدارية]],Saudi_Regions[المنطقة الإدارية],Saudi_Regions[رمز المنطقة الإدارية],"")</f>
        <v>10</v>
      </c>
      <c r="J27" s="27" t="s">
        <v>234</v>
      </c>
      <c r="K27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10001</v>
      </c>
      <c r="L27" s="27" t="s">
        <v>247</v>
      </c>
      <c r="M27" s="27">
        <v>29.9697</v>
      </c>
      <c r="N27" s="27">
        <v>40.200000000000003</v>
      </c>
      <c r="O27" s="6"/>
      <c r="P27" s="27" t="str" cm="1">
        <f t="array" ref="P27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>حوطة سدير</v>
      </c>
      <c r="Q27" s="27" t="str" cm="1">
        <f t="array" ref="Q27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>نمرة</v>
      </c>
      <c r="R27" s="27" t="str" cm="1">
        <f t="array" ref="R27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مدينة الملك خالد العسكرية</v>
      </c>
      <c r="S27" s="27" t="str" cm="1">
        <f t="array" ref="S27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27" s="27" t="str" cm="1">
        <f t="array" ref="T27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>البرك</v>
      </c>
      <c r="U27" s="27" t="str" cm="1">
        <f t="array" ref="U27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>المضايا</v>
      </c>
      <c r="V27" s="27" t="str" cm="1">
        <f t="array" ref="V27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>النبهانية</v>
      </c>
      <c r="W27" s="27" t="str" cm="1">
        <f t="array" ref="W27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27" s="27" t="str" cm="1">
        <f t="array" ref="X27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27" s="27" t="str" cm="1">
        <f t="array" ref="Y27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/>
      </c>
      <c r="Z27" s="27" t="str" cm="1">
        <f t="array" ref="Z27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27" s="27" t="str" cm="1">
        <f t="array" ref="AA27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27" s="27" t="str" cm="1">
        <f t="array" ref="AB27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/>
      </c>
      <c r="AC27" s="3"/>
      <c r="AD27" s="7"/>
    </row>
    <row r="28" spans="2:30" x14ac:dyDescent="0.45">
      <c r="B28" s="3"/>
      <c r="C28" s="6"/>
      <c r="D28" s="6"/>
      <c r="E28" s="6"/>
      <c r="F28" s="6"/>
      <c r="G28" s="6"/>
      <c r="H28" s="6"/>
      <c r="I28" s="27">
        <f>_xlfn.XLOOKUP(Saudi_Regions_Cities[[#This Row],[المنطقة الإدارية]],Saudi_Regions[المنطقة الإدارية],Saudi_Regions[رمز المنطقة الإدارية],"")</f>
        <v>12</v>
      </c>
      <c r="J28" s="27" t="s">
        <v>236</v>
      </c>
      <c r="K28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12001</v>
      </c>
      <c r="L28" s="27" t="s">
        <v>250</v>
      </c>
      <c r="M28" s="27">
        <v>30.975300000000001</v>
      </c>
      <c r="N28" s="27">
        <v>41.023099999999999</v>
      </c>
      <c r="O28" s="6"/>
      <c r="P28" s="27" t="str" cm="1">
        <f t="array" ref="P28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>الحاير</v>
      </c>
      <c r="Q28" s="27" t="str" cm="1">
        <f t="array" ref="Q28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>قياء</v>
      </c>
      <c r="R28" s="27" t="str" cm="1">
        <f t="array" ref="R28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العمران</v>
      </c>
      <c r="S28" s="27" t="str" cm="1">
        <f t="array" ref="S28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28" s="27" t="str" cm="1">
        <f t="array" ref="T28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>رجال ألمع</v>
      </c>
      <c r="U28" s="27" t="str" cm="1">
        <f t="array" ref="U28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>المطعن</v>
      </c>
      <c r="V28" s="27" t="str" cm="1">
        <f t="array" ref="V28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>الهلالية (البكيرية)</v>
      </c>
      <c r="W28" s="27" t="str" cm="1">
        <f t="array" ref="W28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28" s="27" t="str" cm="1">
        <f t="array" ref="X28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28" s="27" t="str" cm="1">
        <f t="array" ref="Y28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/>
      </c>
      <c r="Z28" s="27" t="str" cm="1">
        <f t="array" ref="Z28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28" s="27" t="str" cm="1">
        <f t="array" ref="AA28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28" s="27" t="str" cm="1">
        <f t="array" ref="AB28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/>
      </c>
      <c r="AC28" s="3"/>
      <c r="AD28" s="7"/>
    </row>
    <row r="29" spans="2:30" x14ac:dyDescent="0.45">
      <c r="B29" s="4"/>
      <c r="C29" s="6"/>
      <c r="D29" s="6"/>
      <c r="E29" s="6"/>
      <c r="F29" s="6"/>
      <c r="G29" s="6"/>
      <c r="H29" s="6"/>
      <c r="I29" s="27">
        <f>_xlfn.XLOOKUP(Saudi_Regions_Cities[[#This Row],[المنطقة الإدارية]],Saudi_Regions[المنطقة الإدارية],Saudi_Regions[رمز المنطقة الإدارية],"")</f>
        <v>7</v>
      </c>
      <c r="J29" s="27" t="s">
        <v>231</v>
      </c>
      <c r="K29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7002</v>
      </c>
      <c r="L29" s="27" t="s">
        <v>255</v>
      </c>
      <c r="M29" s="27">
        <v>26.090599999999998</v>
      </c>
      <c r="N29" s="27">
        <v>43.987499999999997</v>
      </c>
      <c r="O29" s="6"/>
      <c r="P29" s="27" t="str" cm="1">
        <f t="array" ref="P29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>الهياثم</v>
      </c>
      <c r="Q29" s="27" t="str" cm="1">
        <f t="array" ref="Q29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>أضم</v>
      </c>
      <c r="R29" s="27" t="str" cm="1">
        <f t="array" ref="R29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القديح</v>
      </c>
      <c r="S29" s="27" t="str" cm="1">
        <f t="array" ref="S29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29" s="27" t="str" cm="1">
        <f t="array" ref="T29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>بارق</v>
      </c>
      <c r="U29" s="27" t="str" cm="1">
        <f t="array" ref="U29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>الجرادية</v>
      </c>
      <c r="V29" s="27" t="str" cm="1">
        <f t="array" ref="V29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/>
      </c>
      <c r="W29" s="27" t="str" cm="1">
        <f t="array" ref="W29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29" s="27" t="str" cm="1">
        <f t="array" ref="X29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29" s="27" t="str" cm="1">
        <f t="array" ref="Y29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/>
      </c>
      <c r="Z29" s="27" t="str" cm="1">
        <f t="array" ref="Z29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29" s="27" t="str" cm="1">
        <f t="array" ref="AA29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29" s="27" t="str" cm="1">
        <f t="array" ref="AB29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/>
      </c>
      <c r="AC29" s="4"/>
    </row>
    <row r="30" spans="2:30" x14ac:dyDescent="0.45">
      <c r="B30" s="4"/>
      <c r="C30" s="6"/>
      <c r="D30" s="6"/>
      <c r="E30" s="6"/>
      <c r="F30" s="6"/>
      <c r="G30" s="6"/>
      <c r="H30" s="6"/>
      <c r="I30" s="27">
        <f>_xlfn.XLOOKUP(Saudi_Regions_Cities[[#This Row],[المنطقة الإدارية]],Saudi_Regions[المنطقة الإدارية],Saudi_Regions[رمز المنطقة الإدارية],"")</f>
        <v>6</v>
      </c>
      <c r="J30" s="27" t="s">
        <v>230</v>
      </c>
      <c r="K30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6001</v>
      </c>
      <c r="L30" s="27" t="s">
        <v>241</v>
      </c>
      <c r="M30" s="27">
        <v>16.889199999999999</v>
      </c>
      <c r="N30" s="27">
        <v>42.561100000000003</v>
      </c>
      <c r="O30" s="6"/>
      <c r="P30" s="27" t="str" cm="1">
        <f t="array" ref="P30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>تمير</v>
      </c>
      <c r="Q30" s="27" t="str" cm="1">
        <f t="array" ref="Q30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>المويه</v>
      </c>
      <c r="R30" s="27" t="str" cm="1">
        <f t="array" ref="R30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الجش</v>
      </c>
      <c r="S30" s="27" t="str" cm="1">
        <f t="array" ref="S30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30" s="27" t="str" cm="1">
        <f t="array" ref="T30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/>
      </c>
      <c r="U30" s="27" t="str" cm="1">
        <f t="array" ref="U30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>حاكمة (أبو عريش)</v>
      </c>
      <c r="V30" s="27" t="str" cm="1">
        <f t="array" ref="V30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/>
      </c>
      <c r="W30" s="27" t="str" cm="1">
        <f t="array" ref="W30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30" s="27" t="str" cm="1">
        <f t="array" ref="X30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30" s="27" t="str" cm="1">
        <f t="array" ref="Y30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/>
      </c>
      <c r="Z30" s="27" t="str" cm="1">
        <f t="array" ref="Z30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30" s="27" t="str" cm="1">
        <f t="array" ref="AA30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30" s="27" t="str" cm="1">
        <f t="array" ref="AB30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/>
      </c>
      <c r="AC30" s="4"/>
    </row>
    <row r="31" spans="2:30" x14ac:dyDescent="0.45">
      <c r="B31" s="4"/>
      <c r="C31" s="6"/>
      <c r="D31" s="6"/>
      <c r="E31" s="6"/>
      <c r="F31" s="6"/>
      <c r="G31" s="6"/>
      <c r="H31" s="6"/>
      <c r="I31" s="27">
        <f>_xlfn.XLOOKUP(Saudi_Regions_Cities[[#This Row],[المنطقة الإدارية]],Saudi_Regions[المنطقة الإدارية],Saudi_Regions[رمز المنطقة الإدارية],"")</f>
        <v>2</v>
      </c>
      <c r="J31" s="27" t="s">
        <v>226</v>
      </c>
      <c r="K31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2004</v>
      </c>
      <c r="L31" s="27" t="s">
        <v>256</v>
      </c>
      <c r="M31" s="27">
        <v>21.441099999999999</v>
      </c>
      <c r="N31" s="27">
        <v>40.497500000000002</v>
      </c>
      <c r="O31" s="6"/>
      <c r="P31" s="27" t="str" cm="1">
        <f t="array" ref="P31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>بنبان</v>
      </c>
      <c r="Q31" s="27" t="str" cm="1">
        <f t="array" ref="Q31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>غران</v>
      </c>
      <c r="R31" s="27" t="str" cm="1">
        <f t="array" ref="R31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الكلابية</v>
      </c>
      <c r="S31" s="27" t="str" cm="1">
        <f t="array" ref="S31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31" s="27" t="str" cm="1">
        <f t="array" ref="T31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/>
      </c>
      <c r="U31" s="27" t="str" cm="1">
        <f t="array" ref="U31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>الحسيني</v>
      </c>
      <c r="V31" s="27" t="str" cm="1">
        <f t="array" ref="V31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/>
      </c>
      <c r="W31" s="27" t="str" cm="1">
        <f t="array" ref="W31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31" s="27" t="str" cm="1">
        <f t="array" ref="X31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31" s="27" t="str" cm="1">
        <f t="array" ref="Y31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/>
      </c>
      <c r="Z31" s="27" t="str" cm="1">
        <f t="array" ref="Z31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31" s="27" t="str" cm="1">
        <f t="array" ref="AA31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31" s="27" t="str" cm="1">
        <f t="array" ref="AB31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/>
      </c>
      <c r="AC31" s="4"/>
    </row>
    <row r="32" spans="2:30" x14ac:dyDescent="0.45">
      <c r="B32" s="4"/>
      <c r="C32" s="6"/>
      <c r="D32" s="6"/>
      <c r="E32" s="6"/>
      <c r="F32" s="6"/>
      <c r="G32" s="6"/>
      <c r="H32" s="6"/>
      <c r="I32" s="27">
        <f>_xlfn.XLOOKUP(Saudi_Regions_Cities[[#This Row],[المنطقة الإدارية]],Saudi_Regions[المنطقة الإدارية],Saudi_Regions[رمز المنطقة الإدارية],"")</f>
        <v>10</v>
      </c>
      <c r="J32" s="27" t="s">
        <v>234</v>
      </c>
      <c r="K32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10002</v>
      </c>
      <c r="L32" s="27" t="s">
        <v>257</v>
      </c>
      <c r="M32" s="27">
        <v>31.316700000000001</v>
      </c>
      <c r="N32" s="27">
        <v>37.366700000000002</v>
      </c>
      <c r="O32" s="6"/>
      <c r="P32" s="27" t="str" cm="1">
        <f t="array" ref="P32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>حريملاء</v>
      </c>
      <c r="Q32" s="27" t="str" cm="1">
        <f t="array" ref="Q32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>مستورة</v>
      </c>
      <c r="R32" s="27" t="str" cm="1">
        <f t="array" ref="R32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المنيزلة</v>
      </c>
      <c r="S32" s="27" t="str" cm="1">
        <f t="array" ref="S32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32" s="27" t="str" cm="1">
        <f t="array" ref="T32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/>
      </c>
      <c r="U32" s="27" t="str" cm="1">
        <f t="array" ref="U32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>مزهرة</v>
      </c>
      <c r="V32" s="27" t="str" cm="1">
        <f t="array" ref="V32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/>
      </c>
      <c r="W32" s="27" t="str" cm="1">
        <f t="array" ref="W32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32" s="27" t="str" cm="1">
        <f t="array" ref="X32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32" s="27" t="str" cm="1">
        <f t="array" ref="Y32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/>
      </c>
      <c r="Z32" s="27" t="str" cm="1">
        <f t="array" ref="Z32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32" s="27" t="str" cm="1">
        <f t="array" ref="AA32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32" s="27" t="str" cm="1">
        <f t="array" ref="AB32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/>
      </c>
      <c r="AC32" s="4"/>
    </row>
    <row r="33" spans="2:29" x14ac:dyDescent="0.45">
      <c r="B33" s="4"/>
      <c r="C33" s="6"/>
      <c r="D33" s="6"/>
      <c r="E33" s="6"/>
      <c r="F33" s="6"/>
      <c r="G33" s="6"/>
      <c r="H33" s="6"/>
      <c r="I33" s="27">
        <f>_xlfn.XLOOKUP(Saudi_Regions_Cities[[#This Row],[المنطقة الإدارية]],Saudi_Regions[المنطقة الإدارية],Saudi_Regions[رمز المنطقة الإدارية],"")</f>
        <v>3</v>
      </c>
      <c r="J33" s="27" t="s">
        <v>227</v>
      </c>
      <c r="K33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3007</v>
      </c>
      <c r="L33" s="27" t="s">
        <v>258</v>
      </c>
      <c r="M33" s="27">
        <v>26.2667</v>
      </c>
      <c r="N33" s="27">
        <v>50.15</v>
      </c>
      <c r="O33" s="6"/>
      <c r="P33" s="27" t="str" cm="1">
        <f t="array" ref="P33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>ملهم</v>
      </c>
      <c r="Q33" s="27" t="str" cm="1">
        <f t="array" ref="Q33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>السيل</v>
      </c>
      <c r="R33" s="27" t="str" cm="1">
        <f t="array" ref="R33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الجارودية</v>
      </c>
      <c r="S33" s="27" t="str" cm="1">
        <f t="array" ref="S33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33" s="27" t="str" cm="1">
        <f t="array" ref="T33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/>
      </c>
      <c r="U33" s="27" t="str" cm="1">
        <f t="array" ref="U33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>أبو السلع</v>
      </c>
      <c r="V33" s="27" t="str" cm="1">
        <f t="array" ref="V33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/>
      </c>
      <c r="W33" s="27" t="str" cm="1">
        <f t="array" ref="W33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33" s="27" t="str" cm="1">
        <f t="array" ref="X33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33" s="27" t="str" cm="1">
        <f t="array" ref="Y33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/>
      </c>
      <c r="Z33" s="27" t="str" cm="1">
        <f t="array" ref="Z33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33" s="27" t="str" cm="1">
        <f t="array" ref="AA33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33" s="27" t="str" cm="1">
        <f t="array" ref="AB33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/>
      </c>
      <c r="AC33" s="4"/>
    </row>
    <row r="34" spans="2:29" x14ac:dyDescent="0.45">
      <c r="B34" s="4"/>
      <c r="C34" s="6"/>
      <c r="D34" s="6"/>
      <c r="E34" s="6"/>
      <c r="F34" s="6"/>
      <c r="G34" s="6"/>
      <c r="H34" s="6"/>
      <c r="I34" s="27">
        <f>_xlfn.XLOOKUP(Saudi_Regions_Cities[[#This Row],[المنطقة الإدارية]],Saudi_Regions[المنطقة الإدارية],Saudi_Regions[رمز المنطقة الإدارية],"")</f>
        <v>3</v>
      </c>
      <c r="J34" s="27" t="s">
        <v>227</v>
      </c>
      <c r="K34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3008</v>
      </c>
      <c r="L34" s="27" t="s">
        <v>259</v>
      </c>
      <c r="M34" s="27">
        <v>26.573499999999999</v>
      </c>
      <c r="N34" s="27">
        <v>50.040599999999998</v>
      </c>
      <c r="O34" s="6"/>
      <c r="P34" s="27" t="str" cm="1">
        <f t="array" ref="P34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>الأرطاوية</v>
      </c>
      <c r="Q34" s="27" t="str" cm="1">
        <f t="array" ref="Q34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>شعب مكا</v>
      </c>
      <c r="R34" s="27" t="str" cm="1">
        <f t="array" ref="R34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الجرن</v>
      </c>
      <c r="S34" s="27" t="str" cm="1">
        <f t="array" ref="S34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34" s="27" t="str" cm="1">
        <f t="array" ref="T34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/>
      </c>
      <c r="U34" s="27" t="str" cm="1">
        <f t="array" ref="U34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>الركوبة</v>
      </c>
      <c r="V34" s="27" t="str" cm="1">
        <f t="array" ref="V34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/>
      </c>
      <c r="W34" s="27" t="str" cm="1">
        <f t="array" ref="W34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34" s="27" t="str" cm="1">
        <f t="array" ref="X34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34" s="27" t="str" cm="1">
        <f t="array" ref="Y34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/>
      </c>
      <c r="Z34" s="27" t="str" cm="1">
        <f t="array" ref="Z34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34" s="27" t="str" cm="1">
        <f t="array" ref="AA34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34" s="27" t="str" cm="1">
        <f t="array" ref="AB34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/>
      </c>
      <c r="AC34" s="4"/>
    </row>
    <row r="35" spans="2:29" x14ac:dyDescent="0.45">
      <c r="B35" s="4"/>
      <c r="C35" s="6"/>
      <c r="D35" s="6"/>
      <c r="E35" s="6"/>
      <c r="F35" s="6"/>
      <c r="G35" s="6"/>
      <c r="H35" s="6"/>
      <c r="I35" s="27">
        <f>_xlfn.XLOOKUP(Saudi_Regions_Cities[[#This Row],[المنطقة الإدارية]],Saudi_Regions[المنطقة الإدارية],Saudi_Regions[رمز المنطقة الإدارية],"")</f>
        <v>5</v>
      </c>
      <c r="J35" s="27" t="s">
        <v>229</v>
      </c>
      <c r="K35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5003</v>
      </c>
      <c r="L35" s="27" t="s">
        <v>260</v>
      </c>
      <c r="M35" s="27">
        <v>20</v>
      </c>
      <c r="N35" s="27">
        <v>42.6</v>
      </c>
      <c r="O35" s="6"/>
      <c r="P35" s="27" t="str" cm="1">
        <f t="array" ref="P35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>الغاط</v>
      </c>
      <c r="Q35" s="27" t="str" cm="1">
        <f t="array" ref="Q35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>الهدا</v>
      </c>
      <c r="R35" s="27" t="str" cm="1">
        <f t="array" ref="R35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عنك</v>
      </c>
      <c r="S35" s="27" t="str" cm="1">
        <f t="array" ref="S35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35" s="27" t="str" cm="1">
        <f t="array" ref="T35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/>
      </c>
      <c r="U35" s="27" t="str" cm="1">
        <f t="array" ref="U35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>الشقيري</v>
      </c>
      <c r="V35" s="27" t="str" cm="1">
        <f t="array" ref="V35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/>
      </c>
      <c r="W35" s="27" t="str" cm="1">
        <f t="array" ref="W35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35" s="27" t="str" cm="1">
        <f t="array" ref="X35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35" s="27" t="str" cm="1">
        <f t="array" ref="Y35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/>
      </c>
      <c r="Z35" s="27" t="str" cm="1">
        <f t="array" ref="Z35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35" s="27" t="str" cm="1">
        <f t="array" ref="AA35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35" s="27" t="str" cm="1">
        <f t="array" ref="AB35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/>
      </c>
      <c r="AC35" s="4"/>
    </row>
    <row r="36" spans="2:29" x14ac:dyDescent="0.45">
      <c r="B36" s="4"/>
      <c r="C36" s="6"/>
      <c r="D36" s="6"/>
      <c r="E36" s="6"/>
      <c r="F36" s="6"/>
      <c r="G36" s="6"/>
      <c r="H36" s="6"/>
      <c r="I36" s="27">
        <f>_xlfn.XLOOKUP(Saudi_Regions_Cities[[#This Row],[المنطقة الإدارية]],Saudi_Regions[المنطقة الإدارية],Saudi_Regions[رمز المنطقة الإدارية],"")</f>
        <v>7</v>
      </c>
      <c r="J36" s="27" t="s">
        <v>231</v>
      </c>
      <c r="K36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7003</v>
      </c>
      <c r="L36" s="27" t="s">
        <v>261</v>
      </c>
      <c r="M36" s="27">
        <v>25.866700000000002</v>
      </c>
      <c r="N36" s="27">
        <v>43.5</v>
      </c>
      <c r="O36" s="6"/>
      <c r="P36" s="27" t="str" cm="1">
        <f t="array" ref="P36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>العيينة</v>
      </c>
      <c r="Q36" s="27" t="str" cm="1">
        <f t="array" ref="Q36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>أم الأوقب</v>
      </c>
      <c r="R36" s="27" t="str" cm="1">
        <f t="array" ref="R36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الذيبية</v>
      </c>
      <c r="S36" s="27" t="str" cm="1">
        <f t="array" ref="S36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36" s="27" t="str" cm="1">
        <f t="array" ref="T36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/>
      </c>
      <c r="U36" s="27" t="str" cm="1">
        <f t="array" ref="U36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>الخضراء (صامطة)</v>
      </c>
      <c r="V36" s="27" t="str" cm="1">
        <f t="array" ref="V36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/>
      </c>
      <c r="W36" s="27" t="str" cm="1">
        <f t="array" ref="W36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36" s="27" t="str" cm="1">
        <f t="array" ref="X36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36" s="27" t="str" cm="1">
        <f t="array" ref="Y36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/>
      </c>
      <c r="Z36" s="27" t="str" cm="1">
        <f t="array" ref="Z36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36" s="27" t="str" cm="1">
        <f t="array" ref="AA36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36" s="27" t="str" cm="1">
        <f t="array" ref="AB36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/>
      </c>
      <c r="AC36" s="4"/>
    </row>
    <row r="37" spans="2:29" x14ac:dyDescent="0.45">
      <c r="B37" s="4"/>
      <c r="C37" s="6"/>
      <c r="D37" s="6"/>
      <c r="E37" s="6"/>
      <c r="F37" s="6"/>
      <c r="G37" s="6"/>
      <c r="H37" s="6"/>
      <c r="I37" s="27">
        <f>_xlfn.XLOOKUP(Saudi_Regions_Cities[[#This Row],[المنطقة الإدارية]],Saudi_Regions[المنطقة الإدارية],Saudi_Regions[رمز المنطقة الإدارية],"")</f>
        <v>5</v>
      </c>
      <c r="J37" s="27" t="s">
        <v>229</v>
      </c>
      <c r="K37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5004</v>
      </c>
      <c r="L37" s="27" t="s">
        <v>262</v>
      </c>
      <c r="M37" s="27"/>
      <c r="N37" s="27"/>
      <c r="O37" s="6"/>
      <c r="P37" s="27" t="str" cm="1">
        <f t="array" ref="P37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>البجادية</v>
      </c>
      <c r="Q37" s="27" t="str" cm="1">
        <f t="array" ref="Q37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>الرميدة</v>
      </c>
      <c r="R37" s="27" t="str" cm="1">
        <f t="array" ref="R37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الأوجام</v>
      </c>
      <c r="S37" s="27" t="str" cm="1">
        <f t="array" ref="S37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37" s="27" t="str" cm="1">
        <f t="array" ref="T37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/>
      </c>
      <c r="U37" s="27" t="str" cm="1">
        <f t="array" ref="U37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>العروق الشمالية (العارضة)</v>
      </c>
      <c r="V37" s="27" t="str" cm="1">
        <f t="array" ref="V37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/>
      </c>
      <c r="W37" s="27" t="str" cm="1">
        <f t="array" ref="W37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37" s="27" t="str" cm="1">
        <f t="array" ref="X37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37" s="27" t="str" cm="1">
        <f t="array" ref="Y37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/>
      </c>
      <c r="Z37" s="27" t="str" cm="1">
        <f t="array" ref="Z37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37" s="27" t="str" cm="1">
        <f t="array" ref="AA37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37" s="27" t="str" cm="1">
        <f t="array" ref="AB37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/>
      </c>
      <c r="AC37" s="4"/>
    </row>
    <row r="38" spans="2:29" x14ac:dyDescent="0.45">
      <c r="B38" s="4"/>
      <c r="C38" s="6"/>
      <c r="D38" s="6"/>
      <c r="E38" s="6"/>
      <c r="F38" s="6"/>
      <c r="G38" s="6"/>
      <c r="H38" s="6"/>
      <c r="I38" s="27">
        <f>_xlfn.XLOOKUP(Saudi_Regions_Cities[[#This Row],[المنطقة الإدارية]],Saudi_Regions[المنطقة الإدارية],Saudi_Regions[رمز المنطقة الإدارية],"")</f>
        <v>13</v>
      </c>
      <c r="J38" s="27" t="s">
        <v>237</v>
      </c>
      <c r="K38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13001</v>
      </c>
      <c r="L38" s="27" t="s">
        <v>251</v>
      </c>
      <c r="M38" s="27">
        <v>20.012499999999999</v>
      </c>
      <c r="N38" s="27">
        <v>41.465299999999999</v>
      </c>
      <c r="O38" s="6"/>
      <c r="P38" s="27" t="str" cm="1">
        <f t="array" ref="P38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>العماجية</v>
      </c>
      <c r="Q38" s="27" t="str" cm="1">
        <f t="array" ref="Q38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>العرفاء</v>
      </c>
      <c r="R38" s="27" t="str" cm="1">
        <f t="array" ref="R38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أم الساهك</v>
      </c>
      <c r="S38" s="27" t="str" cm="1">
        <f t="array" ref="S38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38" s="27" t="str" cm="1">
        <f t="array" ref="T38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/>
      </c>
      <c r="U38" s="27" t="str" cm="1">
        <f t="array" ref="U38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>محلية</v>
      </c>
      <c r="V38" s="27" t="str" cm="1">
        <f t="array" ref="V38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/>
      </c>
      <c r="W38" s="27" t="str" cm="1">
        <f t="array" ref="W38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38" s="27" t="str" cm="1">
        <f t="array" ref="X38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38" s="27" t="str" cm="1">
        <f t="array" ref="Y38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/>
      </c>
      <c r="Z38" s="27" t="str" cm="1">
        <f t="array" ref="Z38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38" s="27" t="str" cm="1">
        <f t="array" ref="AA38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38" s="27" t="str" cm="1">
        <f t="array" ref="AB38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/>
      </c>
      <c r="AC38" s="4"/>
    </row>
    <row r="39" spans="2:29" x14ac:dyDescent="0.45">
      <c r="B39" s="4"/>
      <c r="C39" s="6"/>
      <c r="D39" s="6"/>
      <c r="E39" s="6"/>
      <c r="F39" s="6"/>
      <c r="G39" s="6"/>
      <c r="H39" s="6"/>
      <c r="I39" s="27">
        <f>_xlfn.XLOOKUP(Saudi_Regions_Cities[[#This Row],[المنطقة الإدارية]],Saudi_Regions[المنطقة الإدارية],Saudi_Regions[رمز المنطقة الإدارية],"")</f>
        <v>11</v>
      </c>
      <c r="J39" s="27" t="s">
        <v>235</v>
      </c>
      <c r="K39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11002</v>
      </c>
      <c r="L39" s="27" t="s">
        <v>263</v>
      </c>
      <c r="M39" s="27">
        <v>17.4833</v>
      </c>
      <c r="N39" s="27">
        <v>47.116700000000002</v>
      </c>
      <c r="O39" s="6"/>
      <c r="P39" s="27" t="str" cm="1">
        <f t="array" ref="P39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>الجبيلة</v>
      </c>
      <c r="Q39" s="27" t="str" cm="1">
        <f t="array" ref="Q39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>الشعيبة</v>
      </c>
      <c r="R39" s="27" t="str" cm="1">
        <f t="array" ref="R39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البطالية</v>
      </c>
      <c r="S39" s="27" t="str" cm="1">
        <f t="array" ref="S39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39" s="27" t="str" cm="1">
        <f t="array" ref="T39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/>
      </c>
      <c r="U39" s="27" t="str" cm="1">
        <f t="array" ref="U39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>مسلية</v>
      </c>
      <c r="V39" s="27" t="str" cm="1">
        <f t="array" ref="V39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/>
      </c>
      <c r="W39" s="27" t="str" cm="1">
        <f t="array" ref="W39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39" s="27" t="str" cm="1">
        <f t="array" ref="X39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39" s="27" t="str" cm="1">
        <f t="array" ref="Y39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/>
      </c>
      <c r="Z39" s="27" t="str" cm="1">
        <f t="array" ref="Z39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39" s="27" t="str" cm="1">
        <f t="array" ref="AA39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39" s="27" t="str" cm="1">
        <f t="array" ref="AB39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/>
      </c>
      <c r="AC39" s="4"/>
    </row>
    <row r="40" spans="2:29" x14ac:dyDescent="0.45">
      <c r="B40" s="4"/>
      <c r="C40" s="6"/>
      <c r="D40" s="6"/>
      <c r="E40" s="6"/>
      <c r="F40" s="6"/>
      <c r="G40" s="6"/>
      <c r="H40" s="6"/>
      <c r="I40" s="27">
        <f>_xlfn.XLOOKUP(Saudi_Regions_Cities[[#This Row],[المنطقة الإدارية]],Saudi_Regions[المنطقة الإدارية],Saudi_Regions[رمز المنطقة الإدارية],"")</f>
        <v>3</v>
      </c>
      <c r="J40" s="27" t="s">
        <v>227</v>
      </c>
      <c r="K40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3009</v>
      </c>
      <c r="L40" s="27" t="s">
        <v>264</v>
      </c>
      <c r="M40" s="27">
        <v>26.556000000000001</v>
      </c>
      <c r="N40" s="27">
        <v>49.996000000000002</v>
      </c>
      <c r="O40" s="6"/>
      <c r="P40" s="27" t="str" cm="1">
        <f t="array" ref="P40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>الرويضة</v>
      </c>
      <c r="Q40" s="27" t="str" cm="1">
        <f t="array" ref="Q40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>أم الدوم</v>
      </c>
      <c r="R40" s="27" t="str" cm="1">
        <f t="array" ref="R40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النابية</v>
      </c>
      <c r="S40" s="27" t="str" cm="1">
        <f t="array" ref="S40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40" s="27" t="str" cm="1">
        <f t="array" ref="T40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/>
      </c>
      <c r="U40" s="27" t="str" cm="1">
        <f t="array" ref="U40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>الشواجرة</v>
      </c>
      <c r="V40" s="27" t="str" cm="1">
        <f t="array" ref="V40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/>
      </c>
      <c r="W40" s="27" t="str" cm="1">
        <f t="array" ref="W40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40" s="27" t="str" cm="1">
        <f t="array" ref="X40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40" s="27" t="str" cm="1">
        <f t="array" ref="Y40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/>
      </c>
      <c r="Z40" s="27" t="str" cm="1">
        <f t="array" ref="Z40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40" s="27" t="str" cm="1">
        <f t="array" ref="AA40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40" s="27" t="str" cm="1">
        <f t="array" ref="AB40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/>
      </c>
      <c r="AC40" s="4"/>
    </row>
    <row r="41" spans="2:29" x14ac:dyDescent="0.45">
      <c r="B41" s="4"/>
      <c r="C41" s="6"/>
      <c r="D41" s="6"/>
      <c r="E41" s="6"/>
      <c r="F41" s="6"/>
      <c r="G41" s="6"/>
      <c r="H41" s="6"/>
      <c r="I41" s="27">
        <f>_xlfn.XLOOKUP(Saudi_Regions_Cities[[#This Row],[المنطقة الإدارية]],Saudi_Regions[المنطقة الإدارية],Saudi_Regions[رمز المنطقة الإدارية],"")</f>
        <v>1</v>
      </c>
      <c r="J41" s="27" t="s">
        <v>225</v>
      </c>
      <c r="K41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1003</v>
      </c>
      <c r="L41" s="27" t="s">
        <v>265</v>
      </c>
      <c r="M41" s="27"/>
      <c r="N41" s="27"/>
      <c r="O41" s="6"/>
      <c r="P41" s="27" t="str" cm="1">
        <f t="array" ref="P41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>حرمة</v>
      </c>
      <c r="Q41" s="27" t="str" cm="1">
        <f t="array" ref="Q41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>ملكان</v>
      </c>
      <c r="R41" s="27" t="str" cm="1">
        <f t="array" ref="R41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أم الحمام</v>
      </c>
      <c r="S41" s="27" t="str" cm="1">
        <f t="array" ref="S41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41" s="27" t="str" cm="1">
        <f t="array" ref="T41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/>
      </c>
      <c r="U41" s="27" t="str" cm="1">
        <f t="array" ref="U41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>الخرادلة</v>
      </c>
      <c r="V41" s="27" t="str" cm="1">
        <f t="array" ref="V41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/>
      </c>
      <c r="W41" s="27" t="str" cm="1">
        <f t="array" ref="W41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41" s="27" t="str" cm="1">
        <f t="array" ref="X41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41" s="27" t="str" cm="1">
        <f t="array" ref="Y41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/>
      </c>
      <c r="Z41" s="27" t="str" cm="1">
        <f t="array" ref="Z41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41" s="27" t="str" cm="1">
        <f t="array" ref="AA41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41" s="27" t="str" cm="1">
        <f t="array" ref="AB41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/>
      </c>
      <c r="AC41" s="4"/>
    </row>
    <row r="42" spans="2:29" x14ac:dyDescent="0.45">
      <c r="B42" s="4"/>
      <c r="C42" s="6"/>
      <c r="D42" s="6"/>
      <c r="E42" s="6"/>
      <c r="F42" s="6"/>
      <c r="G42" s="6"/>
      <c r="H42" s="6"/>
      <c r="I42" s="27">
        <f>_xlfn.XLOOKUP(Saudi_Regions_Cities[[#This Row],[المنطقة الإدارية]],Saudi_Regions[المنطقة الإدارية],Saudi_Regions[رمز المنطقة الإدارية],"")</f>
        <v>3</v>
      </c>
      <c r="J42" s="27" t="s">
        <v>227</v>
      </c>
      <c r="K42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3010</v>
      </c>
      <c r="L42" s="27" t="s">
        <v>266</v>
      </c>
      <c r="M42" s="27">
        <v>26.475000000000001</v>
      </c>
      <c r="N42" s="27">
        <v>50.041699999999999</v>
      </c>
      <c r="O42" s="6"/>
      <c r="P42" s="27" t="str" cm="1">
        <f t="array" ref="P42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>قاعدة الأمير سلطان</v>
      </c>
      <c r="Q42" s="27" t="str" cm="1">
        <f t="array" ref="Q42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>مدينة الملك عبد الله الاقتصادية</v>
      </c>
      <c r="R42" s="27" t="str" cm="1">
        <f t="array" ref="R42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إسكان الكلابية</v>
      </c>
      <c r="S42" s="27" t="str" cm="1">
        <f t="array" ref="S42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42" s="27" t="str" cm="1">
        <f t="array" ref="T42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/>
      </c>
      <c r="U42" s="27" t="str" cm="1">
        <f t="array" ref="U42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>الدرب</v>
      </c>
      <c r="V42" s="27" t="str" cm="1">
        <f t="array" ref="V42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/>
      </c>
      <c r="W42" s="27" t="str" cm="1">
        <f t="array" ref="W42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42" s="27" t="str" cm="1">
        <f t="array" ref="X42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42" s="27" t="str" cm="1">
        <f t="array" ref="Y42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/>
      </c>
      <c r="Z42" s="27" t="str" cm="1">
        <f t="array" ref="Z42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42" s="27" t="str" cm="1">
        <f t="array" ref="AA42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42" s="27" t="str" cm="1">
        <f t="array" ref="AB42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/>
      </c>
      <c r="AC42" s="4"/>
    </row>
    <row r="43" spans="2:29" x14ac:dyDescent="0.45">
      <c r="B43" s="4"/>
      <c r="C43" s="6"/>
      <c r="D43" s="6"/>
      <c r="E43" s="6"/>
      <c r="F43" s="6"/>
      <c r="G43" s="6"/>
      <c r="H43" s="6"/>
      <c r="I43" s="27">
        <f>_xlfn.XLOOKUP(Saudi_Regions_Cities[[#This Row],[المنطقة الإدارية]],Saudi_Regions[المنطقة الإدارية],Saudi_Regions[رمز المنطقة الإدارية],"")</f>
        <v>5</v>
      </c>
      <c r="J43" s="27" t="s">
        <v>229</v>
      </c>
      <c r="K43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5005</v>
      </c>
      <c r="L43" s="27" t="s">
        <v>267</v>
      </c>
      <c r="M43" s="27"/>
      <c r="N43" s="27"/>
      <c r="O43" s="6"/>
      <c r="P43" s="27" t="str" cm="1">
        <f t="array" ref="P43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>النايفية (الخرج)</v>
      </c>
      <c r="Q43" s="27" t="str" cm="1">
        <f t="array" ref="Q43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>الصفة</v>
      </c>
      <c r="R43" s="27" t="str" cm="1">
        <f t="array" ref="R43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الحليلة</v>
      </c>
      <c r="S43" s="27" t="str" cm="1">
        <f t="array" ref="S43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43" s="27" t="str" cm="1">
        <f t="array" ref="T43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/>
      </c>
      <c r="U43" s="27" t="str" cm="1">
        <f t="array" ref="U43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>الريث</v>
      </c>
      <c r="V43" s="27" t="str" cm="1">
        <f t="array" ref="V43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/>
      </c>
      <c r="W43" s="27" t="str" cm="1">
        <f t="array" ref="W43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43" s="27" t="str" cm="1">
        <f t="array" ref="X43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43" s="27" t="str" cm="1">
        <f t="array" ref="Y43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/>
      </c>
      <c r="Z43" s="27" t="str" cm="1">
        <f t="array" ref="Z43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43" s="27" t="str" cm="1">
        <f t="array" ref="AA43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43" s="27" t="str" cm="1">
        <f t="array" ref="AB43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/>
      </c>
      <c r="AC43" s="4"/>
    </row>
    <row r="44" spans="2:29" x14ac:dyDescent="0.45">
      <c r="B44" s="4"/>
      <c r="C44" s="6"/>
      <c r="D44" s="6"/>
      <c r="E44" s="6"/>
      <c r="F44" s="6"/>
      <c r="G44" s="6"/>
      <c r="H44" s="6"/>
      <c r="I44" s="27">
        <f>_xlfn.XLOOKUP(Saudi_Regions_Cities[[#This Row],[المنطقة الإدارية]],Saudi_Regions[المنطقة الإدارية],Saudi_Regions[رمز المنطقة الإدارية],"")</f>
        <v>3</v>
      </c>
      <c r="J44" s="27" t="s">
        <v>227</v>
      </c>
      <c r="K44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3011</v>
      </c>
      <c r="L44" s="27" t="s">
        <v>268</v>
      </c>
      <c r="M44" s="27">
        <v>28.421099999999999</v>
      </c>
      <c r="N44" s="27">
        <v>48.495600000000003</v>
      </c>
      <c r="O44" s="6"/>
      <c r="P44" s="27" t="str" cm="1">
        <f t="array" ref="P44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>ثادق</v>
      </c>
      <c r="Q44" s="27" t="str" cm="1">
        <f t="array" ref="Q44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/>
      </c>
      <c r="R44" s="27" t="str" cm="1">
        <f t="array" ref="R44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الجشة</v>
      </c>
      <c r="S44" s="27" t="str" cm="1">
        <f t="array" ref="S44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44" s="27" t="str" cm="1">
        <f t="array" ref="T44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/>
      </c>
      <c r="U44" s="27" t="str" cm="1">
        <f t="array" ref="U44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/>
      </c>
      <c r="V44" s="27" t="str" cm="1">
        <f t="array" ref="V44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/>
      </c>
      <c r="W44" s="27" t="str" cm="1">
        <f t="array" ref="W44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44" s="27" t="str" cm="1">
        <f t="array" ref="X44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44" s="27" t="str" cm="1">
        <f t="array" ref="Y44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/>
      </c>
      <c r="Z44" s="27" t="str" cm="1">
        <f t="array" ref="Z44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44" s="27" t="str" cm="1">
        <f t="array" ref="AA44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44" s="27" t="str" cm="1">
        <f t="array" ref="AB44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/>
      </c>
      <c r="AC44" s="4"/>
    </row>
    <row r="45" spans="2:29" x14ac:dyDescent="0.45">
      <c r="B45" s="4"/>
      <c r="C45" s="6"/>
      <c r="D45" s="6"/>
      <c r="E45" s="6"/>
      <c r="F45" s="6"/>
      <c r="G45" s="6"/>
      <c r="H45" s="6"/>
      <c r="I45" s="27">
        <f>_xlfn.XLOOKUP(Saudi_Regions_Cities[[#This Row],[المنطقة الإدارية]],Saudi_Regions[المنطقة الإدارية],Saudi_Regions[رمز المنطقة الإدارية],"")</f>
        <v>10</v>
      </c>
      <c r="J45" s="27" t="s">
        <v>234</v>
      </c>
      <c r="K45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10003</v>
      </c>
      <c r="L45" s="27" t="s">
        <v>269</v>
      </c>
      <c r="M45" s="27"/>
      <c r="N45" s="27"/>
      <c r="O45" s="6"/>
      <c r="P45" s="27" t="str" cm="1">
        <f t="array" ref="P45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>الكلية الحربية</v>
      </c>
      <c r="Q45" s="27" t="str" cm="1">
        <f t="array" ref="Q45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/>
      </c>
      <c r="R45" s="27" t="str" cm="1">
        <f t="array" ref="R45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قرية العليا</v>
      </c>
      <c r="S45" s="27" t="str" cm="1">
        <f t="array" ref="S45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45" s="27" t="str" cm="1">
        <f t="array" ref="T45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/>
      </c>
      <c r="U45" s="27" t="str" cm="1">
        <f t="array" ref="U45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/>
      </c>
      <c r="V45" s="27" t="str" cm="1">
        <f t="array" ref="V45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/>
      </c>
      <c r="W45" s="27" t="str" cm="1">
        <f t="array" ref="W45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45" s="27" t="str" cm="1">
        <f t="array" ref="X45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45" s="27" t="str" cm="1">
        <f t="array" ref="Y45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/>
      </c>
      <c r="Z45" s="27" t="str" cm="1">
        <f t="array" ref="Z45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45" s="27" t="str" cm="1">
        <f t="array" ref="AA45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45" s="27" t="str" cm="1">
        <f t="array" ref="AB45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/>
      </c>
      <c r="AC45" s="4"/>
    </row>
    <row r="46" spans="2:29" x14ac:dyDescent="0.45">
      <c r="B46" s="4"/>
      <c r="C46" s="6"/>
      <c r="D46" s="6"/>
      <c r="E46" s="6"/>
      <c r="F46" s="6"/>
      <c r="G46" s="6"/>
      <c r="H46" s="6"/>
      <c r="I46" s="27">
        <f>_xlfn.XLOOKUP(Saudi_Regions_Cities[[#This Row],[المنطقة الإدارية]],Saudi_Regions[المنطقة الإدارية],Saudi_Regions[رمز المنطقة الإدارية],"")</f>
        <v>1</v>
      </c>
      <c r="J46" s="27" t="s">
        <v>225</v>
      </c>
      <c r="K46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1004</v>
      </c>
      <c r="L46" s="27" t="s">
        <v>270</v>
      </c>
      <c r="M46" s="27"/>
      <c r="N46" s="27"/>
      <c r="O46" s="6"/>
      <c r="P46" s="27" t="str" cm="1">
        <f t="array" ref="P46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>الحريق</v>
      </c>
      <c r="Q46" s="27" t="str" cm="1">
        <f t="array" ref="Q46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/>
      </c>
      <c r="R46" s="27" t="str" cm="1">
        <f t="array" ref="R46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الرميلة</v>
      </c>
      <c r="S46" s="27" t="str" cm="1">
        <f t="array" ref="S46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46" s="27" t="str" cm="1">
        <f t="array" ref="T46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/>
      </c>
      <c r="U46" s="27" t="str" cm="1">
        <f t="array" ref="U46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/>
      </c>
      <c r="V46" s="27" t="str" cm="1">
        <f t="array" ref="V46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/>
      </c>
      <c r="W46" s="27" t="str" cm="1">
        <f t="array" ref="W46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46" s="27" t="str" cm="1">
        <f t="array" ref="X46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46" s="27" t="str" cm="1">
        <f t="array" ref="Y46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/>
      </c>
      <c r="Z46" s="27" t="str" cm="1">
        <f t="array" ref="Z46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46" s="27" t="str" cm="1">
        <f t="array" ref="AA46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46" s="27" t="str" cm="1">
        <f t="array" ref="AB46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/>
      </c>
      <c r="AC46" s="4"/>
    </row>
    <row r="47" spans="2:29" x14ac:dyDescent="0.45">
      <c r="B47" s="4"/>
      <c r="C47" s="6"/>
      <c r="D47" s="6"/>
      <c r="E47" s="6"/>
      <c r="F47" s="6"/>
      <c r="G47" s="6"/>
      <c r="H47" s="6"/>
      <c r="I47" s="27">
        <f>_xlfn.XLOOKUP(Saudi_Regions_Cities[[#This Row],[المنطقة الإدارية]],Saudi_Regions[المنطقة الإدارية],Saudi_Regions[رمز المنطقة الإدارية],"")</f>
        <v>4</v>
      </c>
      <c r="J47" s="27" t="s">
        <v>228</v>
      </c>
      <c r="K47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4003</v>
      </c>
      <c r="L47" s="27" t="s">
        <v>271</v>
      </c>
      <c r="M47" s="27"/>
      <c r="N47" s="27"/>
      <c r="O47" s="6"/>
      <c r="P47" s="27" t="str" cm="1">
        <f t="array" ref="P47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>مرات</v>
      </c>
      <c r="Q47" s="27" t="str" cm="1">
        <f t="array" ref="Q47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/>
      </c>
      <c r="R47" s="27" t="str" cm="1">
        <f t="array" ref="R47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التويثير</v>
      </c>
      <c r="S47" s="27" t="str" cm="1">
        <f t="array" ref="S47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47" s="27" t="str" cm="1">
        <f t="array" ref="T47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/>
      </c>
      <c r="U47" s="27" t="str" cm="1">
        <f t="array" ref="U47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/>
      </c>
      <c r="V47" s="27" t="str" cm="1">
        <f t="array" ref="V47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/>
      </c>
      <c r="W47" s="27" t="str" cm="1">
        <f t="array" ref="W47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47" s="27" t="str" cm="1">
        <f t="array" ref="X47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47" s="27" t="str" cm="1">
        <f t="array" ref="Y47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/>
      </c>
      <c r="Z47" s="27" t="str" cm="1">
        <f t="array" ref="Z47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47" s="27" t="str" cm="1">
        <f t="array" ref="AA47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47" s="27" t="str" cm="1">
        <f t="array" ref="AB47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/>
      </c>
      <c r="AC47" s="4"/>
    </row>
    <row r="48" spans="2:29" x14ac:dyDescent="0.45">
      <c r="B48" s="4"/>
      <c r="C48" s="6"/>
      <c r="D48" s="6"/>
      <c r="E48" s="6"/>
      <c r="F48" s="6"/>
      <c r="G48" s="6"/>
      <c r="H48" s="6"/>
      <c r="I48" s="27">
        <f>_xlfn.XLOOKUP(Saudi_Regions_Cities[[#This Row],[المنطقة الإدارية]],Saudi_Regions[المنطقة الإدارية],Saudi_Regions[رمز المنطقة الإدارية],"")</f>
        <v>2</v>
      </c>
      <c r="J48" s="27" t="s">
        <v>226</v>
      </c>
      <c r="K48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2005</v>
      </c>
      <c r="L48" s="27" t="s">
        <v>272</v>
      </c>
      <c r="M48" s="27"/>
      <c r="N48" s="27"/>
      <c r="O48" s="6"/>
      <c r="P48" s="27" t="str" cm="1">
        <f t="array" ref="P48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>البديع الشمالي</v>
      </c>
      <c r="Q48" s="27" t="str" cm="1">
        <f t="array" ref="Q48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/>
      </c>
      <c r="R48" s="27" t="str" cm="1">
        <f t="array" ref="R48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التوبي</v>
      </c>
      <c r="S48" s="27" t="str" cm="1">
        <f t="array" ref="S48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48" s="27" t="str" cm="1">
        <f t="array" ref="T48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/>
      </c>
      <c r="U48" s="27" t="str" cm="1">
        <f t="array" ref="U48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/>
      </c>
      <c r="V48" s="27" t="str" cm="1">
        <f t="array" ref="V48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/>
      </c>
      <c r="W48" s="27" t="str" cm="1">
        <f t="array" ref="W48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48" s="27" t="str" cm="1">
        <f t="array" ref="X48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48" s="27" t="str" cm="1">
        <f t="array" ref="Y48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/>
      </c>
      <c r="Z48" s="27" t="str" cm="1">
        <f t="array" ref="Z48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48" s="27" t="str" cm="1">
        <f t="array" ref="AA48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48" s="27" t="str" cm="1">
        <f t="array" ref="AB48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/>
      </c>
      <c r="AC48" s="4"/>
    </row>
    <row r="49" spans="2:29" x14ac:dyDescent="0.45">
      <c r="B49" s="4"/>
      <c r="C49" s="6"/>
      <c r="D49" s="6"/>
      <c r="E49" s="6"/>
      <c r="F49" s="6"/>
      <c r="G49" s="6"/>
      <c r="H49" s="6"/>
      <c r="I49" s="27">
        <f>_xlfn.XLOOKUP(Saudi_Regions_Cities[[#This Row],[المنطقة الإدارية]],Saudi_Regions[المنطقة الإدارية],Saudi_Regions[رمز المنطقة الإدارية],"")</f>
        <v>6</v>
      </c>
      <c r="J49" s="27" t="s">
        <v>230</v>
      </c>
      <c r="K49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6002</v>
      </c>
      <c r="L49" s="27" t="s">
        <v>273</v>
      </c>
      <c r="M49" s="27">
        <v>17.148900000000001</v>
      </c>
      <c r="N49" s="27">
        <v>42.625799999999998</v>
      </c>
      <c r="O49" s="6"/>
      <c r="P49" s="27" t="str" cm="1">
        <f t="array" ref="P49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>روضة سدير</v>
      </c>
      <c r="Q49" s="27" t="str" cm="1">
        <f t="array" ref="Q49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/>
      </c>
      <c r="R49" s="27" t="str" cm="1">
        <f t="array" ref="R49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القارة</v>
      </c>
      <c r="S49" s="27" t="str" cm="1">
        <f t="array" ref="S49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49" s="27" t="str" cm="1">
        <f t="array" ref="T49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/>
      </c>
      <c r="U49" s="27" t="str" cm="1">
        <f t="array" ref="U49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/>
      </c>
      <c r="V49" s="27" t="str" cm="1">
        <f t="array" ref="V49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/>
      </c>
      <c r="W49" s="27" t="str" cm="1">
        <f t="array" ref="W49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49" s="27" t="str" cm="1">
        <f t="array" ref="X49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49" s="27" t="str" cm="1">
        <f t="array" ref="Y49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/>
      </c>
      <c r="Z49" s="27" t="str" cm="1">
        <f t="array" ref="Z49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49" s="27" t="str" cm="1">
        <f t="array" ref="AA49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49" s="27" t="str" cm="1">
        <f t="array" ref="AB49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/>
      </c>
      <c r="AC49" s="4"/>
    </row>
    <row r="50" spans="2:29" x14ac:dyDescent="0.45">
      <c r="B50" s="4"/>
      <c r="C50" s="6"/>
      <c r="D50" s="6"/>
      <c r="E50" s="6"/>
      <c r="F50" s="6"/>
      <c r="G50" s="6"/>
      <c r="H50" s="6"/>
      <c r="I50" s="27">
        <f>_xlfn.XLOOKUP(Saudi_Regions_Cities[[#This Row],[المنطقة الإدارية]],Saudi_Regions[المنطقة الإدارية],Saudi_Regions[رمز المنطقة الإدارية],"")</f>
        <v>1</v>
      </c>
      <c r="J50" s="27" t="s">
        <v>225</v>
      </c>
      <c r="K50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1005</v>
      </c>
      <c r="L50" s="27" t="s">
        <v>274</v>
      </c>
      <c r="M50" s="27">
        <v>25.9039</v>
      </c>
      <c r="N50" s="27">
        <v>45.345599999999997</v>
      </c>
      <c r="O50" s="6"/>
      <c r="P50" s="27" t="str" cm="1">
        <f t="array" ref="P50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>مزارع بالمجمعة</v>
      </c>
      <c r="Q50" s="27" t="str" cm="1">
        <f t="array" ref="Q50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/>
      </c>
      <c r="R50" s="27" t="str" cm="1">
        <f t="array" ref="R50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المركز</v>
      </c>
      <c r="S50" s="27" t="str" cm="1">
        <f t="array" ref="S50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50" s="27" t="str" cm="1">
        <f t="array" ref="T50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/>
      </c>
      <c r="U50" s="27" t="str" cm="1">
        <f t="array" ref="U50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/>
      </c>
      <c r="V50" s="27" t="str" cm="1">
        <f t="array" ref="V50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/>
      </c>
      <c r="W50" s="27" t="str" cm="1">
        <f t="array" ref="W50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50" s="27" t="str" cm="1">
        <f t="array" ref="X50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50" s="27" t="str" cm="1">
        <f t="array" ref="Y50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/>
      </c>
      <c r="Z50" s="27" t="str" cm="1">
        <f t="array" ref="Z50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50" s="27" t="str" cm="1">
        <f t="array" ref="AA50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50" s="27" t="str" cm="1">
        <f t="array" ref="AB50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/>
      </c>
      <c r="AC50" s="4"/>
    </row>
    <row r="51" spans="2:29" x14ac:dyDescent="0.45">
      <c r="B51" s="4"/>
      <c r="C51" s="6"/>
      <c r="D51" s="6"/>
      <c r="E51" s="6"/>
      <c r="F51" s="6"/>
      <c r="G51" s="6"/>
      <c r="H51" s="6"/>
      <c r="I51" s="27">
        <f>_xlfn.XLOOKUP(Saudi_Regions_Cities[[#This Row],[المنطقة الإدارية]],Saudi_Regions[المنطقة الإدارية],Saudi_Regions[رمز المنطقة الإدارية],"")</f>
        <v>2</v>
      </c>
      <c r="J51" s="27" t="s">
        <v>226</v>
      </c>
      <c r="K51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2006</v>
      </c>
      <c r="L51" s="27" t="s">
        <v>275</v>
      </c>
      <c r="M51" s="27"/>
      <c r="N51" s="27"/>
      <c r="O51" s="6"/>
      <c r="P51" s="27" t="str" cm="1">
        <f t="array" ref="P51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>الشديدة</v>
      </c>
      <c r="Q51" s="27" t="str" cm="1">
        <f t="array" ref="Q51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/>
      </c>
      <c r="R51" s="27" t="str" cm="1">
        <f t="array" ref="R51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مزارع طفيح</v>
      </c>
      <c r="S51" s="27" t="str" cm="1">
        <f t="array" ref="S51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51" s="27" t="str" cm="1">
        <f t="array" ref="T51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/>
      </c>
      <c r="U51" s="27" t="str" cm="1">
        <f t="array" ref="U51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/>
      </c>
      <c r="V51" s="27" t="str" cm="1">
        <f t="array" ref="V51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/>
      </c>
      <c r="W51" s="27" t="str" cm="1">
        <f t="array" ref="W51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51" s="27" t="str" cm="1">
        <f t="array" ref="X51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51" s="27" t="str" cm="1">
        <f t="array" ref="Y51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/>
      </c>
      <c r="Z51" s="27" t="str" cm="1">
        <f t="array" ref="Z51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51" s="27" t="str" cm="1">
        <f t="array" ref="AA51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51" s="27" t="str" cm="1">
        <f t="array" ref="AB51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/>
      </c>
      <c r="AC51" s="4"/>
    </row>
    <row r="52" spans="2:29" x14ac:dyDescent="0.45">
      <c r="B52" s="4"/>
      <c r="C52" s="6"/>
      <c r="D52" s="6"/>
      <c r="E52" s="6"/>
      <c r="F52" s="6"/>
      <c r="G52" s="6"/>
      <c r="H52" s="6"/>
      <c r="I52" s="27">
        <f>_xlfn.XLOOKUP(Saudi_Regions_Cities[[#This Row],[المنطقة الإدارية]],Saudi_Regions[المنطقة الإدارية],Saudi_Regions[رمز المنطقة الإدارية],"")</f>
        <v>6</v>
      </c>
      <c r="J52" s="27" t="s">
        <v>230</v>
      </c>
      <c r="K52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6003</v>
      </c>
      <c r="L52" s="27" t="s">
        <v>276</v>
      </c>
      <c r="M52" s="27"/>
      <c r="N52" s="27"/>
      <c r="O52" s="6"/>
      <c r="P52" s="27" t="str" cm="1">
        <f t="array" ref="P52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/>
      </c>
      <c r="Q52" s="27" t="str" cm="1">
        <f t="array" ref="Q52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/>
      </c>
      <c r="R52" s="27" t="str" cm="1">
        <f t="array" ref="R52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المنصورة</v>
      </c>
      <c r="S52" s="27" t="str" cm="1">
        <f t="array" ref="S52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52" s="27" t="str" cm="1">
        <f t="array" ref="T52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/>
      </c>
      <c r="U52" s="27" t="str" cm="1">
        <f t="array" ref="U52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/>
      </c>
      <c r="V52" s="27" t="str" cm="1">
        <f t="array" ref="V52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/>
      </c>
      <c r="W52" s="27" t="str" cm="1">
        <f t="array" ref="W52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52" s="27" t="str" cm="1">
        <f t="array" ref="X52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52" s="27" t="str" cm="1">
        <f t="array" ref="Y52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/>
      </c>
      <c r="Z52" s="27" t="str" cm="1">
        <f t="array" ref="Z52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52" s="27" t="str" cm="1">
        <f t="array" ref="AA52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52" s="27" t="str" cm="1">
        <f t="array" ref="AB52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/>
      </c>
      <c r="AC52" s="4"/>
    </row>
    <row r="53" spans="2:29" x14ac:dyDescent="0.45">
      <c r="B53" s="4"/>
      <c r="C53" s="6"/>
      <c r="D53" s="6"/>
      <c r="E53" s="6"/>
      <c r="F53" s="6"/>
      <c r="G53" s="6"/>
      <c r="H53" s="6"/>
      <c r="I53" s="27">
        <f>_xlfn.XLOOKUP(Saudi_Regions_Cities[[#This Row],[المنطقة الإدارية]],Saudi_Regions[المنطقة الإدارية],Saudi_Regions[رمز المنطقة الإدارية],"")</f>
        <v>1</v>
      </c>
      <c r="J53" s="27" t="s">
        <v>225</v>
      </c>
      <c r="K53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1006</v>
      </c>
      <c r="L53" s="27" t="s">
        <v>277</v>
      </c>
      <c r="M53" s="27">
        <v>26.283300000000001</v>
      </c>
      <c r="N53" s="27">
        <v>44.8</v>
      </c>
      <c r="O53" s="6"/>
      <c r="P53" s="27" t="str" cm="1">
        <f t="array" ref="P53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/>
      </c>
      <c r="Q53" s="27" t="str" cm="1">
        <f t="array" ref="Q53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/>
      </c>
      <c r="R53" s="27" t="str" cm="1">
        <f t="array" ref="R53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القرين</v>
      </c>
      <c r="S53" s="27" t="str" cm="1">
        <f t="array" ref="S53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53" s="27" t="str" cm="1">
        <f t="array" ref="T53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/>
      </c>
      <c r="U53" s="27" t="str" cm="1">
        <f t="array" ref="U53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/>
      </c>
      <c r="V53" s="27" t="str" cm="1">
        <f t="array" ref="V53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/>
      </c>
      <c r="W53" s="27" t="str" cm="1">
        <f t="array" ref="W53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53" s="27" t="str" cm="1">
        <f t="array" ref="X53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53" s="27" t="str" cm="1">
        <f t="array" ref="Y53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/>
      </c>
      <c r="Z53" s="27" t="str" cm="1">
        <f t="array" ref="Z53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53" s="27" t="str" cm="1">
        <f t="array" ref="AA53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53" s="27" t="str" cm="1">
        <f t="array" ref="AB53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/>
      </c>
      <c r="AC53" s="4"/>
    </row>
    <row r="54" spans="2:29" x14ac:dyDescent="0.45">
      <c r="B54" s="4"/>
      <c r="C54" s="6"/>
      <c r="D54" s="6"/>
      <c r="E54" s="6"/>
      <c r="F54" s="6"/>
      <c r="G54" s="6"/>
      <c r="H54" s="6"/>
      <c r="I54" s="27">
        <f>_xlfn.XLOOKUP(Saudi_Regions_Cities[[#This Row],[المنطقة الإدارية]],Saudi_Regions[المنطقة الإدارية],Saudi_Regions[رمز المنطقة الإدارية],"")</f>
        <v>12</v>
      </c>
      <c r="J54" s="27" t="s">
        <v>236</v>
      </c>
      <c r="K54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12002</v>
      </c>
      <c r="L54" s="27" t="s">
        <v>278</v>
      </c>
      <c r="M54" s="27">
        <v>29.6386</v>
      </c>
      <c r="N54" s="27">
        <v>43.501399999999997</v>
      </c>
      <c r="O54" s="6"/>
      <c r="P54" s="27" t="str" cm="1">
        <f t="array" ref="P54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/>
      </c>
      <c r="Q54" s="27" t="str" cm="1">
        <f t="array" ref="Q54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/>
      </c>
      <c r="R54" s="27" t="str" cm="1">
        <f t="array" ref="R54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حلة محيش</v>
      </c>
      <c r="S54" s="27" t="str" cm="1">
        <f t="array" ref="S54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54" s="27" t="str" cm="1">
        <f t="array" ref="T54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/>
      </c>
      <c r="U54" s="27" t="str" cm="1">
        <f t="array" ref="U54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/>
      </c>
      <c r="V54" s="27" t="str" cm="1">
        <f t="array" ref="V54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/>
      </c>
      <c r="W54" s="27" t="str" cm="1">
        <f t="array" ref="W54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54" s="27" t="str" cm="1">
        <f t="array" ref="X54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54" s="27" t="str" cm="1">
        <f t="array" ref="Y54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/>
      </c>
      <c r="Z54" s="27" t="str" cm="1">
        <f t="array" ref="Z54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54" s="27" t="str" cm="1">
        <f t="array" ref="AA54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54" s="27" t="str" cm="1">
        <f t="array" ref="AB54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/>
      </c>
      <c r="AC54" s="4"/>
    </row>
    <row r="55" spans="2:29" x14ac:dyDescent="0.45">
      <c r="B55" s="4"/>
      <c r="C55" s="6"/>
      <c r="D55" s="6"/>
      <c r="E55" s="6"/>
      <c r="F55" s="6"/>
      <c r="G55" s="6"/>
      <c r="H55" s="6"/>
      <c r="I55" s="27">
        <f>_xlfn.XLOOKUP(Saudi_Regions_Cities[[#This Row],[المنطقة الإدارية]],Saudi_Regions[المنطقة الإدارية],Saudi_Regions[رمز المنطقة الإدارية],"")</f>
        <v>1</v>
      </c>
      <c r="J55" s="27" t="s">
        <v>225</v>
      </c>
      <c r="K55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1007</v>
      </c>
      <c r="L55" s="27" t="s">
        <v>279</v>
      </c>
      <c r="M55" s="27">
        <v>24.7333</v>
      </c>
      <c r="N55" s="27">
        <v>46.575600000000001</v>
      </c>
      <c r="O55" s="6"/>
      <c r="P55" s="27" t="str" cm="1">
        <f t="array" ref="P55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/>
      </c>
      <c r="Q55" s="27" t="str" cm="1">
        <f t="array" ref="Q55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/>
      </c>
      <c r="R55" s="27" t="str" cm="1">
        <f t="array" ref="R55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الحوطة</v>
      </c>
      <c r="S55" s="27" t="str" cm="1">
        <f t="array" ref="S55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55" s="27" t="str" cm="1">
        <f t="array" ref="T55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/>
      </c>
      <c r="U55" s="27" t="str" cm="1">
        <f t="array" ref="U55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/>
      </c>
      <c r="V55" s="27" t="str" cm="1">
        <f t="array" ref="V55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/>
      </c>
      <c r="W55" s="27" t="str" cm="1">
        <f t="array" ref="W55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55" s="27" t="str" cm="1">
        <f t="array" ref="X55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55" s="27" t="str" cm="1">
        <f t="array" ref="Y55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/>
      </c>
      <c r="Z55" s="27" t="str" cm="1">
        <f t="array" ref="Z55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55" s="27" t="str" cm="1">
        <f t="array" ref="AA55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55" s="27" t="str" cm="1">
        <f t="array" ref="AB55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/>
      </c>
      <c r="AC55" s="4"/>
    </row>
    <row r="56" spans="2:29" x14ac:dyDescent="0.45">
      <c r="B56" s="4"/>
      <c r="C56" s="6"/>
      <c r="D56" s="6"/>
      <c r="E56" s="6"/>
      <c r="F56" s="6"/>
      <c r="G56" s="6"/>
      <c r="H56" s="6"/>
      <c r="I56" s="27">
        <f>_xlfn.XLOOKUP(Saudi_Regions_Cities[[#This Row],[المنطقة الإدارية]],Saudi_Regions[المنطقة الإدارية],Saudi_Regions[رمز المنطقة الإدارية],"")</f>
        <v>12</v>
      </c>
      <c r="J56" s="27" t="s">
        <v>236</v>
      </c>
      <c r="K56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12003</v>
      </c>
      <c r="L56" s="27" t="s">
        <v>280</v>
      </c>
      <c r="M56" s="27">
        <v>31.677499999999998</v>
      </c>
      <c r="N56" s="27">
        <v>38.653100000000002</v>
      </c>
      <c r="O56" s="6"/>
      <c r="P56" s="27" t="str" cm="1">
        <f t="array" ref="P56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/>
      </c>
      <c r="Q56" s="27" t="str" cm="1">
        <f t="array" ref="Q56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/>
      </c>
      <c r="R56" s="27" t="str" cm="1">
        <f t="array" ref="R56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الجفر</v>
      </c>
      <c r="S56" s="27" t="str" cm="1">
        <f t="array" ref="S56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56" s="27" t="str" cm="1">
        <f t="array" ref="T56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/>
      </c>
      <c r="U56" s="27" t="str" cm="1">
        <f t="array" ref="U56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/>
      </c>
      <c r="V56" s="27" t="str" cm="1">
        <f t="array" ref="V56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/>
      </c>
      <c r="W56" s="27" t="str" cm="1">
        <f t="array" ref="W56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56" s="27" t="str" cm="1">
        <f t="array" ref="X56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56" s="27" t="str" cm="1">
        <f t="array" ref="Y56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/>
      </c>
      <c r="Z56" s="27" t="str" cm="1">
        <f t="array" ref="Z56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56" s="27" t="str" cm="1">
        <f t="array" ref="AA56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56" s="27" t="str" cm="1">
        <f t="array" ref="AB56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/>
      </c>
      <c r="AC56" s="4"/>
    </row>
    <row r="57" spans="2:29" x14ac:dyDescent="0.45">
      <c r="B57" s="4"/>
      <c r="C57" s="6"/>
      <c r="D57" s="6"/>
      <c r="E57" s="6"/>
      <c r="F57" s="6"/>
      <c r="G57" s="6"/>
      <c r="H57" s="6"/>
      <c r="I57" s="27">
        <f>_xlfn.XLOOKUP(Saudi_Regions_Cities[[#This Row],[المنطقة الإدارية]],Saudi_Regions[المنطقة الإدارية],Saudi_Regions[رمز المنطقة الإدارية],"")</f>
        <v>3</v>
      </c>
      <c r="J57" s="27" t="s">
        <v>227</v>
      </c>
      <c r="K57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3012</v>
      </c>
      <c r="L57" s="27" t="s">
        <v>281</v>
      </c>
      <c r="M57" s="27">
        <v>26.65</v>
      </c>
      <c r="N57" s="27">
        <v>50.166699999999999</v>
      </c>
      <c r="O57" s="6"/>
      <c r="P57" s="27" t="str" cm="1">
        <f t="array" ref="P57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/>
      </c>
      <c r="Q57" s="27" t="str" cm="1">
        <f t="array" ref="Q57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/>
      </c>
      <c r="R57" s="27" t="str" cm="1">
        <f t="array" ref="R57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الخويلدية</v>
      </c>
      <c r="S57" s="27" t="str" cm="1">
        <f t="array" ref="S57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57" s="27" t="str" cm="1">
        <f t="array" ref="T57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/>
      </c>
      <c r="U57" s="27" t="str" cm="1">
        <f t="array" ref="U57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/>
      </c>
      <c r="V57" s="27" t="str" cm="1">
        <f t="array" ref="V57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/>
      </c>
      <c r="W57" s="27" t="str" cm="1">
        <f t="array" ref="W57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57" s="27" t="str" cm="1">
        <f t="array" ref="X57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57" s="27" t="str" cm="1">
        <f t="array" ref="Y57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/>
      </c>
      <c r="Z57" s="27" t="str" cm="1">
        <f t="array" ref="Z57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57" s="27" t="str" cm="1">
        <f t="array" ref="AA57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57" s="27" t="str" cm="1">
        <f t="array" ref="AB57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/>
      </c>
      <c r="AC57" s="4"/>
    </row>
    <row r="58" spans="2:29" x14ac:dyDescent="0.45">
      <c r="B58" s="4"/>
      <c r="C58" s="6"/>
      <c r="D58" s="6"/>
      <c r="E58" s="6"/>
      <c r="F58" s="6"/>
      <c r="G58" s="6"/>
      <c r="H58" s="6"/>
      <c r="I58" s="27">
        <f>_xlfn.XLOOKUP(Saudi_Regions_Cities[[#This Row],[المنطقة الإدارية]],Saudi_Regions[المنطقة الإدارية],Saudi_Regions[رمز المنطقة الإدارية],"")</f>
        <v>1</v>
      </c>
      <c r="J58" s="27" t="s">
        <v>225</v>
      </c>
      <c r="K58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1008</v>
      </c>
      <c r="L58" s="27" t="s">
        <v>282</v>
      </c>
      <c r="M58" s="27"/>
      <c r="N58" s="27"/>
      <c r="O58" s="6"/>
      <c r="P58" s="27" t="str" cm="1">
        <f t="array" ref="P58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/>
      </c>
      <c r="Q58" s="27" t="str" cm="1">
        <f t="array" ref="Q58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/>
      </c>
      <c r="R58" s="27" t="str" cm="1">
        <f t="array" ref="R58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مريخ</v>
      </c>
      <c r="S58" s="27" t="str" cm="1">
        <f t="array" ref="S58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58" s="27" t="str" cm="1">
        <f t="array" ref="T58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/>
      </c>
      <c r="U58" s="27" t="str" cm="1">
        <f t="array" ref="U58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/>
      </c>
      <c r="V58" s="27" t="str" cm="1">
        <f t="array" ref="V58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/>
      </c>
      <c r="W58" s="27" t="str" cm="1">
        <f t="array" ref="W58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58" s="27" t="str" cm="1">
        <f t="array" ref="X58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58" s="27" t="str" cm="1">
        <f t="array" ref="Y58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/>
      </c>
      <c r="Z58" s="27" t="str" cm="1">
        <f t="array" ref="Z58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58" s="27" t="str" cm="1">
        <f t="array" ref="AA58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58" s="27" t="str" cm="1">
        <f t="array" ref="AB58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/>
      </c>
      <c r="AC58" s="4"/>
    </row>
    <row r="59" spans="2:29" x14ac:dyDescent="0.45">
      <c r="B59" s="4"/>
      <c r="C59" s="6"/>
      <c r="D59" s="6"/>
      <c r="E59" s="6"/>
      <c r="F59" s="6"/>
      <c r="G59" s="6"/>
      <c r="H59" s="6"/>
      <c r="I59" s="27">
        <f>_xlfn.XLOOKUP(Saudi_Regions_Cities[[#This Row],[المنطقة الإدارية]],Saudi_Regions[المنطقة الإدارية],Saudi_Regions[رمز المنطقة الإدارية],"")</f>
        <v>7</v>
      </c>
      <c r="J59" s="27" t="s">
        <v>231</v>
      </c>
      <c r="K59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7004</v>
      </c>
      <c r="L59" s="27" t="s">
        <v>283</v>
      </c>
      <c r="M59" s="27"/>
      <c r="N59" s="27"/>
      <c r="O59" s="6"/>
      <c r="P59" s="27" t="str" cm="1">
        <f t="array" ref="P59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/>
      </c>
      <c r="Q59" s="27" t="str" cm="1">
        <f t="array" ref="Q59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/>
      </c>
      <c r="R59" s="27" t="str" cm="1">
        <f t="array" ref="R59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مشروع حرض</v>
      </c>
      <c r="S59" s="27" t="str" cm="1">
        <f t="array" ref="S59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59" s="27" t="str" cm="1">
        <f t="array" ref="T59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/>
      </c>
      <c r="U59" s="27" t="str" cm="1">
        <f t="array" ref="U59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/>
      </c>
      <c r="V59" s="27" t="str" cm="1">
        <f t="array" ref="V59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/>
      </c>
      <c r="W59" s="27" t="str" cm="1">
        <f t="array" ref="W59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59" s="27" t="str" cm="1">
        <f t="array" ref="X59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59" s="27" t="str" cm="1">
        <f t="array" ref="Y59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/>
      </c>
      <c r="Z59" s="27" t="str" cm="1">
        <f t="array" ref="Z59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59" s="27" t="str" cm="1">
        <f t="array" ref="AA59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59" s="27" t="str" cm="1">
        <f t="array" ref="AB59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/>
      </c>
      <c r="AC59" s="4"/>
    </row>
    <row r="60" spans="2:29" x14ac:dyDescent="0.45">
      <c r="B60" s="4"/>
      <c r="C60" s="6"/>
      <c r="D60" s="6"/>
      <c r="E60" s="6"/>
      <c r="F60" s="6"/>
      <c r="G60" s="6"/>
      <c r="H60" s="6"/>
      <c r="I60" s="27">
        <f>_xlfn.XLOOKUP(Saudi_Regions_Cities[[#This Row],[المنطقة الإدارية]],Saudi_Regions[المنطقة الإدارية],Saudi_Regions[رمز المنطقة الإدارية],"")</f>
        <v>1</v>
      </c>
      <c r="J60" s="27" t="s">
        <v>225</v>
      </c>
      <c r="K60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1009</v>
      </c>
      <c r="L60" s="27" t="s">
        <v>284</v>
      </c>
      <c r="M60" s="27"/>
      <c r="N60" s="27"/>
      <c r="O60" s="6"/>
      <c r="P60" s="27" t="str" cm="1">
        <f t="array" ref="P60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/>
      </c>
      <c r="Q60" s="27" t="str" cm="1">
        <f t="array" ref="Q60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/>
      </c>
      <c r="R60" s="27" t="str" cm="1">
        <f t="array" ref="R60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الملاحة</v>
      </c>
      <c r="S60" s="27" t="str" cm="1">
        <f t="array" ref="S60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60" s="27" t="str" cm="1">
        <f t="array" ref="T60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/>
      </c>
      <c r="U60" s="27" t="str" cm="1">
        <f t="array" ref="U60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/>
      </c>
      <c r="V60" s="27" t="str" cm="1">
        <f t="array" ref="V60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/>
      </c>
      <c r="W60" s="27" t="str" cm="1">
        <f t="array" ref="W60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60" s="27" t="str" cm="1">
        <f t="array" ref="X60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60" s="27" t="str" cm="1">
        <f t="array" ref="Y60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/>
      </c>
      <c r="Z60" s="27" t="str" cm="1">
        <f t="array" ref="Z60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60" s="27" t="str" cm="1">
        <f t="array" ref="AA60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60" s="27" t="str" cm="1">
        <f t="array" ref="AB60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/>
      </c>
      <c r="AC60" s="4"/>
    </row>
    <row r="61" spans="2:29" x14ac:dyDescent="0.45">
      <c r="B61" s="4"/>
      <c r="C61" s="6"/>
      <c r="D61" s="6"/>
      <c r="E61" s="6"/>
      <c r="F61" s="6"/>
      <c r="G61" s="6"/>
      <c r="H61" s="6"/>
      <c r="I61" s="27">
        <f>_xlfn.XLOOKUP(Saudi_Regions_Cities[[#This Row],[المنطقة الإدارية]],Saudi_Regions[المنطقة الإدارية],Saudi_Regions[رمز المنطقة الإدارية],"")</f>
        <v>8</v>
      </c>
      <c r="J61" s="27" t="s">
        <v>232</v>
      </c>
      <c r="K61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8002</v>
      </c>
      <c r="L61" s="27" t="s">
        <v>285</v>
      </c>
      <c r="M61" s="27"/>
      <c r="N61" s="27"/>
      <c r="O61" s="6"/>
      <c r="P61" s="27" t="str" cm="1">
        <f t="array" ref="P61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/>
      </c>
      <c r="Q61" s="27" t="str" cm="1">
        <f t="array" ref="Q61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/>
      </c>
      <c r="R61" s="27" t="str" cm="1">
        <f t="array" ref="R61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الشهارين</v>
      </c>
      <c r="S61" s="27" t="str" cm="1">
        <f t="array" ref="S61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61" s="27" t="str" cm="1">
        <f t="array" ref="T61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/>
      </c>
      <c r="U61" s="27" t="str" cm="1">
        <f t="array" ref="U61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/>
      </c>
      <c r="V61" s="27" t="str" cm="1">
        <f t="array" ref="V61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/>
      </c>
      <c r="W61" s="27" t="str" cm="1">
        <f t="array" ref="W61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61" s="27" t="str" cm="1">
        <f t="array" ref="X61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61" s="27" t="str" cm="1">
        <f t="array" ref="Y61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/>
      </c>
      <c r="Z61" s="27" t="str" cm="1">
        <f t="array" ref="Z61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61" s="27" t="str" cm="1">
        <f t="array" ref="AA61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61" s="27" t="str" cm="1">
        <f t="array" ref="AB61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/>
      </c>
      <c r="AC61" s="4"/>
    </row>
    <row r="62" spans="2:29" x14ac:dyDescent="0.45">
      <c r="B62" s="4"/>
      <c r="C62" s="6"/>
      <c r="D62" s="6"/>
      <c r="E62" s="6"/>
      <c r="F62" s="6"/>
      <c r="G62" s="6"/>
      <c r="H62" s="6"/>
      <c r="I62" s="27">
        <f>_xlfn.XLOOKUP(Saudi_Regions_Cities[[#This Row],[المنطقة الإدارية]],Saudi_Regions[المنطقة الإدارية],Saudi_Regions[رمز المنطقة الإدارية],"")</f>
        <v>3</v>
      </c>
      <c r="J62" s="27" t="s">
        <v>227</v>
      </c>
      <c r="K62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3013</v>
      </c>
      <c r="L62" s="27" t="s">
        <v>286</v>
      </c>
      <c r="M62" s="27">
        <v>26.649100000000001</v>
      </c>
      <c r="N62" s="27">
        <v>49.952300000000001</v>
      </c>
      <c r="O62" s="6"/>
      <c r="P62" s="27" t="str" cm="1">
        <f t="array" ref="P62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/>
      </c>
      <c r="Q62" s="27" t="str" cm="1">
        <f t="array" ref="Q62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/>
      </c>
      <c r="R62" s="27" t="str" cm="1">
        <f t="array" ref="R62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الفضول</v>
      </c>
      <c r="S62" s="27" t="str" cm="1">
        <f t="array" ref="S62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62" s="27" t="str" cm="1">
        <f t="array" ref="T62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/>
      </c>
      <c r="U62" s="27" t="str" cm="1">
        <f t="array" ref="U62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/>
      </c>
      <c r="V62" s="27" t="str" cm="1">
        <f t="array" ref="V62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/>
      </c>
      <c r="W62" s="27" t="str" cm="1">
        <f t="array" ref="W62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62" s="27" t="str" cm="1">
        <f t="array" ref="X62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62" s="27" t="str" cm="1">
        <f t="array" ref="Y62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/>
      </c>
      <c r="Z62" s="27" t="str" cm="1">
        <f t="array" ref="Z62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62" s="27" t="str" cm="1">
        <f t="array" ref="AA62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62" s="27" t="str" cm="1">
        <f t="array" ref="AB62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/>
      </c>
      <c r="AC62" s="4"/>
    </row>
    <row r="63" spans="2:29" x14ac:dyDescent="0.45">
      <c r="B63" s="4"/>
      <c r="C63" s="6"/>
      <c r="D63" s="6"/>
      <c r="E63" s="6"/>
      <c r="F63" s="6"/>
      <c r="G63" s="6"/>
      <c r="H63" s="6"/>
      <c r="I63" s="27">
        <f>_xlfn.XLOOKUP(Saudi_Regions_Cities[[#This Row],[المنطقة الإدارية]],Saudi_Regions[المنطقة الإدارية],Saudi_Regions[رمز المنطقة الإدارية],"")</f>
        <v>3</v>
      </c>
      <c r="J63" s="27" t="s">
        <v>227</v>
      </c>
      <c r="K63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3014</v>
      </c>
      <c r="L63" s="27" t="s">
        <v>287</v>
      </c>
      <c r="M63" s="27">
        <v>25.934999999999999</v>
      </c>
      <c r="N63" s="27">
        <v>49.6661</v>
      </c>
      <c r="O63" s="6"/>
      <c r="P63" s="27" t="str" cm="1">
        <f t="array" ref="P63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/>
      </c>
      <c r="Q63" s="27" t="str" cm="1">
        <f t="array" ref="Q63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/>
      </c>
      <c r="R63" s="27" t="str" cm="1">
        <f t="array" ref="R63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الغويبة</v>
      </c>
      <c r="S63" s="27" t="str" cm="1">
        <f t="array" ref="S63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63" s="27" t="str" cm="1">
        <f t="array" ref="T63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/>
      </c>
      <c r="U63" s="27" t="str" cm="1">
        <f t="array" ref="U63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/>
      </c>
      <c r="V63" s="27" t="str" cm="1">
        <f t="array" ref="V63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/>
      </c>
      <c r="W63" s="27" t="str" cm="1">
        <f t="array" ref="W63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63" s="27" t="str" cm="1">
        <f t="array" ref="X63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63" s="27" t="str" cm="1">
        <f t="array" ref="Y63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/>
      </c>
      <c r="Z63" s="27" t="str" cm="1">
        <f t="array" ref="Z63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63" s="27" t="str" cm="1">
        <f t="array" ref="AA63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63" s="27" t="str" cm="1">
        <f t="array" ref="AB63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/>
      </c>
      <c r="AC63" s="4"/>
    </row>
    <row r="64" spans="2:29" x14ac:dyDescent="0.45">
      <c r="B64" s="4"/>
      <c r="C64" s="6"/>
      <c r="D64" s="6"/>
      <c r="E64" s="6"/>
      <c r="F64" s="6"/>
      <c r="G64" s="6"/>
      <c r="H64" s="6"/>
      <c r="I64" s="27">
        <f>_xlfn.XLOOKUP(Saudi_Regions_Cities[[#This Row],[المنطقة الإدارية]],Saudi_Regions[المنطقة الإدارية],Saudi_Regions[رمز المنطقة الإدارية],"")</f>
        <v>6</v>
      </c>
      <c r="J64" s="27" t="s">
        <v>230</v>
      </c>
      <c r="K64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6004</v>
      </c>
      <c r="L64" s="27" t="s">
        <v>288</v>
      </c>
      <c r="M64" s="27"/>
      <c r="N64" s="27"/>
      <c r="O64" s="6"/>
      <c r="P64" s="27" t="str" cm="1">
        <f t="array" ref="P64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/>
      </c>
      <c r="Q64" s="27" t="str" cm="1">
        <f t="array" ref="Q64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/>
      </c>
      <c r="R64" s="27" t="str" cm="1">
        <f t="array" ref="R64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الشقيق</v>
      </c>
      <c r="S64" s="27" t="str" cm="1">
        <f t="array" ref="S64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64" s="27" t="str" cm="1">
        <f t="array" ref="T64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/>
      </c>
      <c r="U64" s="27" t="str" cm="1">
        <f t="array" ref="U64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/>
      </c>
      <c r="V64" s="27" t="str" cm="1">
        <f t="array" ref="V64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/>
      </c>
      <c r="W64" s="27" t="str" cm="1">
        <f t="array" ref="W64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64" s="27" t="str" cm="1">
        <f t="array" ref="X64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64" s="27" t="str" cm="1">
        <f t="array" ref="Y64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/>
      </c>
      <c r="Z64" s="27" t="str" cm="1">
        <f t="array" ref="Z64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64" s="27" t="str" cm="1">
        <f t="array" ref="AA64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64" s="27" t="str" cm="1">
        <f t="array" ref="AB64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/>
      </c>
      <c r="AC64" s="4"/>
    </row>
    <row r="65" spans="2:29" x14ac:dyDescent="0.45">
      <c r="B65" s="4"/>
      <c r="C65" s="6"/>
      <c r="D65" s="6"/>
      <c r="E65" s="6"/>
      <c r="F65" s="6"/>
      <c r="G65" s="6"/>
      <c r="H65" s="6"/>
      <c r="I65" s="27">
        <f>_xlfn.XLOOKUP(Saudi_Regions_Cities[[#This Row],[المنطقة الإدارية]],Saudi_Regions[المنطقة الإدارية],Saudi_Regions[رمز المنطقة الإدارية],"")</f>
        <v>7</v>
      </c>
      <c r="J65" s="27" t="s">
        <v>231</v>
      </c>
      <c r="K65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7005</v>
      </c>
      <c r="L65" s="27" t="s">
        <v>289</v>
      </c>
      <c r="M65" s="27"/>
      <c r="N65" s="27"/>
      <c r="O65" s="6"/>
      <c r="P65" s="27" t="str" cm="1">
        <f t="array" ref="P65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/>
      </c>
      <c r="Q65" s="27" t="str" cm="1">
        <f t="array" ref="Q65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/>
      </c>
      <c r="R65" s="27" t="str" cm="1">
        <f t="array" ref="R65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البيضاء</v>
      </c>
      <c r="S65" s="27" t="str" cm="1">
        <f t="array" ref="S65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65" s="27" t="str" cm="1">
        <f t="array" ref="T65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/>
      </c>
      <c r="U65" s="27" t="str" cm="1">
        <f t="array" ref="U65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/>
      </c>
      <c r="V65" s="27" t="str" cm="1">
        <f t="array" ref="V65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/>
      </c>
      <c r="W65" s="27" t="str" cm="1">
        <f t="array" ref="W65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65" s="27" t="str" cm="1">
        <f t="array" ref="X65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65" s="27" t="str" cm="1">
        <f t="array" ref="Y65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/>
      </c>
      <c r="Z65" s="27" t="str" cm="1">
        <f t="array" ref="Z65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65" s="27" t="str" cm="1">
        <f t="array" ref="AA65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65" s="27" t="str" cm="1">
        <f t="array" ref="AB65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/>
      </c>
      <c r="AC65" s="4"/>
    </row>
    <row r="66" spans="2:29" x14ac:dyDescent="0.45">
      <c r="B66" s="4"/>
      <c r="C66" s="6"/>
      <c r="D66" s="6"/>
      <c r="E66" s="6"/>
      <c r="F66" s="6"/>
      <c r="G66" s="6"/>
      <c r="H66" s="6"/>
      <c r="I66" s="27">
        <f>_xlfn.XLOOKUP(Saudi_Regions_Cities[[#This Row],[المنطقة الإدارية]],Saudi_Regions[المنطقة الإدارية],Saudi_Regions[رمز المنطقة الإدارية],"")</f>
        <v>2</v>
      </c>
      <c r="J66" s="27" t="s">
        <v>226</v>
      </c>
      <c r="K66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2007</v>
      </c>
      <c r="L66" s="27" t="s">
        <v>290</v>
      </c>
      <c r="M66" s="27">
        <v>19.1264</v>
      </c>
      <c r="N66" s="27">
        <v>41.078899999999997</v>
      </c>
      <c r="O66" s="6"/>
      <c r="P66" s="27" t="str" cm="1">
        <f t="array" ref="P66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/>
      </c>
      <c r="Q66" s="27" t="str" cm="1">
        <f t="array" ref="Q66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/>
      </c>
      <c r="R66" s="27" t="str" cm="1">
        <f t="array" ref="R66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الرفيعة</v>
      </c>
      <c r="S66" s="27" t="str" cm="1">
        <f t="array" ref="S66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66" s="27" t="str" cm="1">
        <f t="array" ref="T66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/>
      </c>
      <c r="U66" s="27" t="str" cm="1">
        <f t="array" ref="U66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/>
      </c>
      <c r="V66" s="27" t="str" cm="1">
        <f t="array" ref="V66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/>
      </c>
      <c r="W66" s="27" t="str" cm="1">
        <f t="array" ref="W66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66" s="27" t="str" cm="1">
        <f t="array" ref="X66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66" s="27" t="str" cm="1">
        <f t="array" ref="Y66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/>
      </c>
      <c r="Z66" s="27" t="str" cm="1">
        <f t="array" ref="Z66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66" s="27" t="str" cm="1">
        <f t="array" ref="AA66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66" s="27" t="str" cm="1">
        <f t="array" ref="AB66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/>
      </c>
      <c r="AC66" s="4"/>
    </row>
    <row r="67" spans="2:29" x14ac:dyDescent="0.45">
      <c r="B67" s="4"/>
      <c r="C67" s="6"/>
      <c r="D67" s="6"/>
      <c r="E67" s="6"/>
      <c r="F67" s="6"/>
      <c r="G67" s="6"/>
      <c r="H67" s="6"/>
      <c r="I67" s="27">
        <f>_xlfn.XLOOKUP(Saudi_Regions_Cities[[#This Row],[المنطقة الإدارية]],Saudi_Regions[المنطقة الإدارية],Saudi_Regions[رمز المنطقة الإدارية],"")</f>
        <v>10</v>
      </c>
      <c r="J67" s="27" t="s">
        <v>234</v>
      </c>
      <c r="K67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10004</v>
      </c>
      <c r="L67" s="27" t="s">
        <v>291</v>
      </c>
      <c r="M67" s="27">
        <v>29.815300000000001</v>
      </c>
      <c r="N67" s="27">
        <v>39.866399999999999</v>
      </c>
      <c r="O67" s="6"/>
      <c r="P67" s="27" t="str" cm="1">
        <f t="array" ref="P67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/>
      </c>
      <c r="Q67" s="27" t="str" cm="1">
        <f t="array" ref="Q67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/>
      </c>
      <c r="R67" s="27" t="str" cm="1">
        <f t="array" ref="R67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الصرار</v>
      </c>
      <c r="S67" s="27" t="str" cm="1">
        <f t="array" ref="S67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67" s="27" t="str" cm="1">
        <f t="array" ref="T67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/>
      </c>
      <c r="U67" s="27" t="str" cm="1">
        <f t="array" ref="U67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/>
      </c>
      <c r="V67" s="27" t="str" cm="1">
        <f t="array" ref="V67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/>
      </c>
      <c r="W67" s="27" t="str" cm="1">
        <f t="array" ref="W67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67" s="27" t="str" cm="1">
        <f t="array" ref="X67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67" s="27" t="str" cm="1">
        <f t="array" ref="Y67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/>
      </c>
      <c r="Z67" s="27" t="str" cm="1">
        <f t="array" ref="Z67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67" s="27" t="str" cm="1">
        <f t="array" ref="AA67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67" s="27" t="str" cm="1">
        <f t="array" ref="AB67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/>
      </c>
      <c r="AC67" s="4"/>
    </row>
    <row r="68" spans="2:29" x14ac:dyDescent="0.45">
      <c r="B68" s="4"/>
      <c r="C68" s="6"/>
      <c r="D68" s="6"/>
      <c r="E68" s="6"/>
      <c r="F68" s="6"/>
      <c r="G68" s="6"/>
      <c r="H68" s="6"/>
      <c r="I68" s="27">
        <f>_xlfn.XLOOKUP(Saudi_Regions_Cities[[#This Row],[المنطقة الإدارية]],Saudi_Regions[المنطقة الإدارية],Saudi_Regions[رمز المنطقة الإدارية],"")</f>
        <v>1</v>
      </c>
      <c r="J68" s="27" t="s">
        <v>225</v>
      </c>
      <c r="K68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1010</v>
      </c>
      <c r="L68" s="27" t="s">
        <v>292</v>
      </c>
      <c r="M68" s="27"/>
      <c r="N68" s="27"/>
      <c r="O68" s="6"/>
      <c r="P68" s="27" t="str" cm="1">
        <f t="array" ref="P68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/>
      </c>
      <c r="Q68" s="27" t="str" cm="1">
        <f t="array" ref="Q68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/>
      </c>
      <c r="R68" s="27" t="str" cm="1">
        <f t="array" ref="R68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مليجة</v>
      </c>
      <c r="S68" s="27" t="str" cm="1">
        <f t="array" ref="S68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68" s="27" t="str" cm="1">
        <f t="array" ref="T68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/>
      </c>
      <c r="U68" s="27" t="str" cm="1">
        <f t="array" ref="U68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/>
      </c>
      <c r="V68" s="27" t="str" cm="1">
        <f t="array" ref="V68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/>
      </c>
      <c r="W68" s="27" t="str" cm="1">
        <f t="array" ref="W68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68" s="27" t="str" cm="1">
        <f t="array" ref="X68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68" s="27" t="str" cm="1">
        <f t="array" ref="Y68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/>
      </c>
      <c r="Z68" s="27" t="str" cm="1">
        <f t="array" ref="Z68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68" s="27" t="str" cm="1">
        <f t="array" ref="AA68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68" s="27" t="str" cm="1">
        <f t="array" ref="AB68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/>
      </c>
      <c r="AC68" s="4"/>
    </row>
    <row r="69" spans="2:29" x14ac:dyDescent="0.45">
      <c r="B69" s="4"/>
      <c r="C69" s="6"/>
      <c r="D69" s="6"/>
      <c r="E69" s="6"/>
      <c r="F69" s="6"/>
      <c r="G69" s="6"/>
      <c r="H69" s="6"/>
      <c r="I69" s="27">
        <f>_xlfn.XLOOKUP(Saudi_Regions_Cities[[#This Row],[المنطقة الإدارية]],Saudi_Regions[المنطقة الإدارية],Saudi_Regions[رمز المنطقة الإدارية],"")</f>
        <v>2</v>
      </c>
      <c r="J69" s="27" t="s">
        <v>226</v>
      </c>
      <c r="K69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2008</v>
      </c>
      <c r="L69" s="27" t="s">
        <v>293</v>
      </c>
      <c r="M69" s="27">
        <v>21.625014499999999</v>
      </c>
      <c r="N69" s="27">
        <v>39.5339429</v>
      </c>
      <c r="O69" s="6"/>
      <c r="P69" s="27" t="str" cm="1">
        <f t="array" ref="P69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/>
      </c>
      <c r="Q69" s="27" t="str" cm="1">
        <f t="array" ref="Q69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/>
      </c>
      <c r="R69" s="27" t="str" cm="1">
        <f t="array" ref="R69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اللهابة</v>
      </c>
      <c r="S69" s="27" t="str" cm="1">
        <f t="array" ref="S69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69" s="27" t="str" cm="1">
        <f t="array" ref="T69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/>
      </c>
      <c r="U69" s="27" t="str" cm="1">
        <f t="array" ref="U69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/>
      </c>
      <c r="V69" s="27" t="str" cm="1">
        <f t="array" ref="V69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/>
      </c>
      <c r="W69" s="27" t="str" cm="1">
        <f t="array" ref="W69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69" s="27" t="str" cm="1">
        <f t="array" ref="X69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69" s="27" t="str" cm="1">
        <f t="array" ref="Y69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/>
      </c>
      <c r="Z69" s="27" t="str" cm="1">
        <f t="array" ref="Z69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69" s="27" t="str" cm="1">
        <f t="array" ref="AA69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69" s="27" t="str" cm="1">
        <f t="array" ref="AB69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/>
      </c>
      <c r="AC69" s="4"/>
    </row>
    <row r="70" spans="2:29" x14ac:dyDescent="0.45">
      <c r="B70" s="4"/>
      <c r="C70" s="6"/>
      <c r="D70" s="6"/>
      <c r="E70" s="6"/>
      <c r="F70" s="6"/>
      <c r="G70" s="6"/>
      <c r="H70" s="6"/>
      <c r="I70" s="27">
        <f>_xlfn.XLOOKUP(Saudi_Regions_Cities[[#This Row],[المنطقة الإدارية]],Saudi_Regions[المنطقة الإدارية],Saudi_Regions[رمز المنطقة الإدارية],"")</f>
        <v>4</v>
      </c>
      <c r="J70" s="27" t="s">
        <v>228</v>
      </c>
      <c r="K70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4004</v>
      </c>
      <c r="L70" s="27" t="s">
        <v>294</v>
      </c>
      <c r="M70" s="27"/>
      <c r="N70" s="27"/>
      <c r="O70" s="6"/>
      <c r="P70" s="27" t="str" cm="1">
        <f t="array" ref="P70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/>
      </c>
      <c r="Q70" s="27" t="str" cm="1">
        <f t="array" ref="Q70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/>
      </c>
      <c r="R70" s="27" t="str" cm="1">
        <f t="array" ref="R70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جوف بني هاجر</v>
      </c>
      <c r="S70" s="27" t="str" cm="1">
        <f t="array" ref="S70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70" s="27" t="str" cm="1">
        <f t="array" ref="T70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/>
      </c>
      <c r="U70" s="27" t="str" cm="1">
        <f t="array" ref="U70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/>
      </c>
      <c r="V70" s="27" t="str" cm="1">
        <f t="array" ref="V70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/>
      </c>
      <c r="W70" s="27" t="str" cm="1">
        <f t="array" ref="W70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70" s="27" t="str" cm="1">
        <f t="array" ref="X70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70" s="27" t="str" cm="1">
        <f t="array" ref="Y70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/>
      </c>
      <c r="Z70" s="27" t="str" cm="1">
        <f t="array" ref="Z70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70" s="27" t="str" cm="1">
        <f t="array" ref="AA70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70" s="27" t="str" cm="1">
        <f t="array" ref="AB70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/>
      </c>
      <c r="AC70" s="4"/>
    </row>
    <row r="71" spans="2:29" x14ac:dyDescent="0.45">
      <c r="B71" s="4"/>
      <c r="C71" s="6"/>
      <c r="D71" s="6"/>
      <c r="E71" s="6"/>
      <c r="F71" s="6"/>
      <c r="G71" s="6"/>
      <c r="H71" s="6"/>
      <c r="I71" s="27">
        <f>_xlfn.XLOOKUP(Saudi_Regions_Cities[[#This Row],[المنطقة الإدارية]],Saudi_Regions[المنطقة الإدارية],Saudi_Regions[رمز المنطقة الإدارية],"")</f>
        <v>3</v>
      </c>
      <c r="J71" s="27" t="s">
        <v>227</v>
      </c>
      <c r="K71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3015</v>
      </c>
      <c r="L71" s="27" t="s">
        <v>295</v>
      </c>
      <c r="M71" s="27">
        <v>27.477900000000002</v>
      </c>
      <c r="N71" s="27">
        <v>48.484699999999997</v>
      </c>
      <c r="O71" s="6"/>
      <c r="P71" s="27" t="str" cm="1">
        <f t="array" ref="P71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/>
      </c>
      <c r="Q71" s="27" t="str" cm="1">
        <f t="array" ref="Q71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/>
      </c>
      <c r="R71" s="27" t="str" cm="1">
        <f t="array" ref="R71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القليب</v>
      </c>
      <c r="S71" s="27" t="str" cm="1">
        <f t="array" ref="S71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71" s="27" t="str" cm="1">
        <f t="array" ref="T71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/>
      </c>
      <c r="U71" s="27" t="str" cm="1">
        <f t="array" ref="U71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/>
      </c>
      <c r="V71" s="27" t="str" cm="1">
        <f t="array" ref="V71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/>
      </c>
      <c r="W71" s="27" t="str" cm="1">
        <f t="array" ref="W71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71" s="27" t="str" cm="1">
        <f t="array" ref="X71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71" s="27" t="str" cm="1">
        <f t="array" ref="Y71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/>
      </c>
      <c r="Z71" s="27" t="str" cm="1">
        <f t="array" ref="Z71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71" s="27" t="str" cm="1">
        <f t="array" ref="AA71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71" s="27" t="str" cm="1">
        <f t="array" ref="AB71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/>
      </c>
      <c r="AC71" s="4"/>
    </row>
    <row r="72" spans="2:29" x14ac:dyDescent="0.45">
      <c r="B72" s="4"/>
      <c r="C72" s="6"/>
      <c r="D72" s="6"/>
      <c r="E72" s="6"/>
      <c r="F72" s="6"/>
      <c r="G72" s="6"/>
      <c r="H72" s="6"/>
      <c r="I72" s="27">
        <f>_xlfn.XLOOKUP(Saudi_Regions_Cities[[#This Row],[المنطقة الإدارية]],Saudi_Regions[المنطقة الإدارية],Saudi_Regions[رمز المنطقة الإدارية],"")</f>
        <v>8</v>
      </c>
      <c r="J72" s="27" t="s">
        <v>232</v>
      </c>
      <c r="K72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8003</v>
      </c>
      <c r="L72" s="27" t="s">
        <v>296</v>
      </c>
      <c r="M72" s="27">
        <v>27.349299999999999</v>
      </c>
      <c r="N72" s="27">
        <v>35.696199999999997</v>
      </c>
      <c r="O72" s="6"/>
      <c r="P72" s="27" t="str" cm="1">
        <f t="array" ref="P72">IFERROR(
INDEX(
_xlfn._xlws.FILTER(Saudi_Regions_Cities[[المدينة]:[المدينة]],
Saudi_Regions_Cities[[المنطقة الإدارية]:[المنطقة الإدارية]]=Saudi_Regions_Cities_Matrix[[#Headers],[منطقة الرياض]],""),
ROW()-ROW(Saudi_Regions_Cities_Matrix[[#Headers],[منطقة الرياض]])),
"")</f>
        <v/>
      </c>
      <c r="Q72" s="27" t="str" cm="1">
        <f t="array" ref="Q72">IFERROR(
INDEX(
_xlfn._xlws.FILTER(Saudi_Regions_Cities[[المدينة]:[المدينة]],
Saudi_Regions_Cities[[المنطقة الإدارية]:[المنطقة الإدارية]]=Saudi_Regions_Cities_Matrix[[#Headers],[منطقة مكة المكرمة]],""),
ROW()-ROW(Saudi_Regions_Cities_Matrix[[#Headers],[منطقة مكة المكرمة]])),
"")</f>
        <v/>
      </c>
      <c r="R72" s="27" t="str" cm="1">
        <f t="array" ref="R72">IFERROR(
INDEX(
_xlfn._xlws.FILTER(Saudi_Regions_Cities[[المدينة]:[المدينة]],
Saudi_Regions_Cities[[المنطقة الإدارية]:[المنطقة الإدارية]]=Saudi_Regions_Cities_Matrix[[#Headers],[المنطقة الشرقية]],""),
ROW()-ROW(Saudi_Regions_Cities_Matrix[[#Headers],[المنطقة الشرقية]])),
"")</f>
        <v>عين دار</v>
      </c>
      <c r="S72" s="27" t="str" cm="1">
        <f t="array" ref="S72">IFERROR(
INDEX(
_xlfn._xlws.FILTER(Saudi_Regions_Cities[[المدينة]:[المدينة]],
Saudi_Regions_Cities[[المنطقة الإدارية]:[المنطقة الإدارية]]=Saudi_Regions_Cities_Matrix[[#Headers],[منطقة المدينة المنورة]],""),
ROW()-ROW(Saudi_Regions_Cities_Matrix[[#Headers],[منطقة المدينة المنورة]])),
"")</f>
        <v/>
      </c>
      <c r="T72" s="27" t="str" cm="1">
        <f t="array" ref="T72">IFERROR(
INDEX(
_xlfn._xlws.FILTER(Saudi_Regions_Cities[[المدينة]:[المدينة]],
Saudi_Regions_Cities[[المنطقة الإدارية]:[المنطقة الإدارية]]=Saudi_Regions_Cities_Matrix[[#Headers],[منطقة عسير]],""),
ROW()-ROW(Saudi_Regions_Cities_Matrix[[#Headers],[منطقة عسير]])),
"")</f>
        <v/>
      </c>
      <c r="U72" s="27" t="str" cm="1">
        <f t="array" ref="U72">IFERROR(
INDEX(
_xlfn._xlws.FILTER(Saudi_Regions_Cities[[المدينة]:[المدينة]],
Saudi_Regions_Cities[[المنطقة الإدارية]:[المنطقة الإدارية]]=Saudi_Regions_Cities_Matrix[[#Headers],[منطقة جازان]],""),
ROW()-ROW(Saudi_Regions_Cities_Matrix[[#Headers],[منطقة جازان]])),
"")</f>
        <v/>
      </c>
      <c r="V72" s="27" t="str" cm="1">
        <f t="array" ref="V72">IFERROR(
INDEX(
_xlfn._xlws.FILTER(Saudi_Regions_Cities[[المدينة]:[المدينة]],
Saudi_Regions_Cities[[المنطقة الإدارية]:[المنطقة الإدارية]]=Saudi_Regions_Cities_Matrix[[#Headers],[منطقة القصيم]],""),
ROW()-ROW(Saudi_Regions_Cities_Matrix[[#Headers],[منطقة القصيم]])),
"")</f>
        <v/>
      </c>
      <c r="W72" s="27" t="str" cm="1">
        <f t="array" ref="W72">IFERROR(
INDEX(
_xlfn._xlws.FILTER(Saudi_Regions_Cities[[المدينة]:[المدينة]],
Saudi_Regions_Cities[[المنطقة الإدارية]:[المنطقة الإدارية]]=Saudi_Regions_Cities_Matrix[[#Headers],[منطقة تبوك]],""),
ROW()-ROW(Saudi_Regions_Cities_Matrix[[#Headers],[منطقة تبوك]])),
"")</f>
        <v/>
      </c>
      <c r="X72" s="27" t="str" cm="1">
        <f t="array" ref="X72">IFERROR(
INDEX(
_xlfn._xlws.FILTER(Saudi_Regions_Cities[[المدينة]:[المدينة]],
Saudi_Regions_Cities[[المنطقة الإدارية]:[المنطقة الإدارية]]=Saudi_Regions_Cities_Matrix[[#Headers],[منطقة حائل]],""),
ROW()-ROW(Saudi_Regions_Cities_Matrix[[#Headers],[منطقة حائل]])),
"")</f>
        <v/>
      </c>
      <c r="Y72" s="27" t="str" cm="1">
        <f t="array" ref="Y72">IFERROR(
INDEX(
_xlfn._xlws.FILTER(Saudi_Regions_Cities[[المدينة]:[المدينة]],
Saudi_Regions_Cities[[المنطقة الإدارية]:[المنطقة الإدارية]]=Saudi_Regions_Cities_Matrix[[#Headers],[منطقة الجوف]],""),
ROW()-ROW(Saudi_Regions_Cities_Matrix[[#Headers],[منطقة الجوف]])),
"")</f>
        <v/>
      </c>
      <c r="Z72" s="27" t="str" cm="1">
        <f t="array" ref="Z72">IFERROR(
INDEX(
_xlfn._xlws.FILTER(Saudi_Regions_Cities[[المدينة]:[المدينة]],
Saudi_Regions_Cities[[المنطقة الإدارية]:[المنطقة الإدارية]]=Saudi_Regions_Cities_Matrix[[#Headers],[منطقة نجران]],""),
ROW()-ROW(Saudi_Regions_Cities_Matrix[[#Headers],[منطقة نجران]])),
"")</f>
        <v/>
      </c>
      <c r="AA72" s="27" t="str" cm="1">
        <f t="array" ref="AA72">IFERROR(
INDEX(
_xlfn._xlws.FILTER(Saudi_Regions_Cities[[المدينة]:[المدينة]],
Saudi_Regions_Cities[[المنطقة الإدارية]:[المنطقة الإدارية]]=Saudi_Regions_Cities_Matrix[[#Headers],[منطقة الحدود الشمالية]],""),
ROW()-ROW(Saudi_Regions_Cities_Matrix[[#Headers],[منطقة الحدود الشمالية]])),
"")</f>
        <v/>
      </c>
      <c r="AB72" s="27" t="str" cm="1">
        <f t="array" ref="AB72">IFERROR(
INDEX(
_xlfn._xlws.FILTER(Saudi_Regions_Cities[[المدينة]:[المدينة]],
Saudi_Regions_Cities[[المنطقة الإدارية]:[المنطقة الإدارية]]=Saudi_Regions_Cities_Matrix[[#Headers],[منطقة الباحة]],""),
ROW()-ROW(Saudi_Regions_Cities_Matrix[[#Headers],[منطقة الباحة]])),
"")</f>
        <v/>
      </c>
      <c r="AC72" s="4"/>
    </row>
    <row r="73" spans="2:29" x14ac:dyDescent="0.45">
      <c r="B73" s="4"/>
      <c r="C73" s="6"/>
      <c r="D73" s="6"/>
      <c r="E73" s="6"/>
      <c r="F73" s="6"/>
      <c r="G73" s="6"/>
      <c r="H73" s="6"/>
      <c r="I73" s="27">
        <f>_xlfn.XLOOKUP(Saudi_Regions_Cities[[#This Row],[المنطقة الإدارية]],Saudi_Regions[المنطقة الإدارية],Saudi_Regions[رمز المنطقة الإدارية],"")</f>
        <v>1</v>
      </c>
      <c r="J73" s="27" t="s">
        <v>225</v>
      </c>
      <c r="K73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1011</v>
      </c>
      <c r="L73" s="27" t="s">
        <v>297</v>
      </c>
      <c r="M73" s="27"/>
      <c r="N73" s="27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4"/>
    </row>
    <row r="74" spans="2:29" x14ac:dyDescent="0.45">
      <c r="B74" s="4"/>
      <c r="C74" s="6"/>
      <c r="D74" s="6"/>
      <c r="E74" s="6"/>
      <c r="F74" s="6"/>
      <c r="G74" s="6"/>
      <c r="H74" s="6"/>
      <c r="I74" s="27">
        <f>_xlfn.XLOOKUP(Saudi_Regions_Cities[[#This Row],[المنطقة الإدارية]],Saudi_Regions[المنطقة الإدارية],Saudi_Regions[رمز المنطقة الإدارية],"")</f>
        <v>8</v>
      </c>
      <c r="J74" s="27" t="s">
        <v>232</v>
      </c>
      <c r="K74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8004</v>
      </c>
      <c r="L74" s="27" t="s">
        <v>298</v>
      </c>
      <c r="M74" s="27"/>
      <c r="N74" s="27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4"/>
    </row>
    <row r="75" spans="2:29" x14ac:dyDescent="0.45">
      <c r="B75" s="4"/>
      <c r="C75" s="6"/>
      <c r="D75" s="6"/>
      <c r="E75" s="6"/>
      <c r="F75" s="6"/>
      <c r="G75" s="6"/>
      <c r="H75" s="6"/>
      <c r="I75" s="27">
        <f>_xlfn.XLOOKUP(Saudi_Regions_Cities[[#This Row],[المنطقة الإدارية]],Saudi_Regions[المنطقة الإدارية],Saudi_Regions[رمز المنطقة الإدارية],"")</f>
        <v>2</v>
      </c>
      <c r="J75" s="27" t="s">
        <v>226</v>
      </c>
      <c r="K75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2009</v>
      </c>
      <c r="L75" s="27" t="s">
        <v>299</v>
      </c>
      <c r="M75" s="27"/>
      <c r="N75" s="27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4"/>
    </row>
    <row r="76" spans="2:29" x14ac:dyDescent="0.45">
      <c r="B76" s="4"/>
      <c r="C76" s="6"/>
      <c r="D76" s="6"/>
      <c r="E76" s="6"/>
      <c r="F76" s="6"/>
      <c r="G76" s="6"/>
      <c r="H76" s="6"/>
      <c r="I76" s="27">
        <f>_xlfn.XLOOKUP(Saudi_Regions_Cities[[#This Row],[المنطقة الإدارية]],Saudi_Regions[المنطقة الإدارية],Saudi_Regions[رمز المنطقة الإدارية],"")</f>
        <v>13</v>
      </c>
      <c r="J76" s="27" t="s">
        <v>237</v>
      </c>
      <c r="K76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13002</v>
      </c>
      <c r="L76" s="27" t="s">
        <v>105</v>
      </c>
      <c r="M76" s="27">
        <v>19.850200000000001</v>
      </c>
      <c r="N76" s="27">
        <v>41.558799999999998</v>
      </c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4"/>
    </row>
    <row r="77" spans="2:29" x14ac:dyDescent="0.45">
      <c r="B77" s="4"/>
      <c r="C77" s="6"/>
      <c r="D77" s="6"/>
      <c r="E77" s="6"/>
      <c r="F77" s="6"/>
      <c r="G77" s="6"/>
      <c r="H77" s="6"/>
      <c r="I77" s="27">
        <f>_xlfn.XLOOKUP(Saudi_Regions_Cities[[#This Row],[المنطقة الإدارية]],Saudi_Regions[المنطقة الإدارية],Saudi_Regions[رمز المنطقة الإدارية],"")</f>
        <v>3</v>
      </c>
      <c r="J77" s="27" t="s">
        <v>227</v>
      </c>
      <c r="K77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3016</v>
      </c>
      <c r="L77" s="27" t="s">
        <v>300</v>
      </c>
      <c r="M77" s="27">
        <v>25.526199999999999</v>
      </c>
      <c r="N77" s="27">
        <v>49.583599999999997</v>
      </c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4"/>
    </row>
    <row r="78" spans="2:29" x14ac:dyDescent="0.45">
      <c r="B78" s="4"/>
      <c r="C78" s="6"/>
      <c r="D78" s="6"/>
      <c r="E78" s="6"/>
      <c r="F78" s="6"/>
      <c r="G78" s="6"/>
      <c r="H78" s="6"/>
      <c r="I78" s="27">
        <f>_xlfn.XLOOKUP(Saudi_Regions_Cities[[#This Row],[المنطقة الإدارية]],Saudi_Regions[المنطقة الإدارية],Saudi_Regions[رمز المنطقة الإدارية],"")</f>
        <v>8</v>
      </c>
      <c r="J78" s="27" t="s">
        <v>232</v>
      </c>
      <c r="K78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8005</v>
      </c>
      <c r="L78" s="27" t="s">
        <v>301</v>
      </c>
      <c r="M78" s="27">
        <v>26.283300000000001</v>
      </c>
      <c r="N78" s="27">
        <v>36.416699999999999</v>
      </c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4"/>
    </row>
    <row r="79" spans="2:29" x14ac:dyDescent="0.45">
      <c r="B79" s="4"/>
      <c r="C79" s="6"/>
      <c r="D79" s="6"/>
      <c r="E79" s="6"/>
      <c r="F79" s="6"/>
      <c r="G79" s="6"/>
      <c r="H79" s="6"/>
      <c r="I79" s="27">
        <f>_xlfn.XLOOKUP(Saudi_Regions_Cities[[#This Row],[المنطقة الإدارية]],Saudi_Regions[المنطقة الإدارية],Saudi_Regions[رمز المنطقة الإدارية],"")</f>
        <v>7</v>
      </c>
      <c r="J79" s="27" t="s">
        <v>231</v>
      </c>
      <c r="K79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7006</v>
      </c>
      <c r="L79" s="27" t="s">
        <v>302</v>
      </c>
      <c r="M79" s="27">
        <v>25.860099999999999</v>
      </c>
      <c r="N79" s="27">
        <v>44.222299999999997</v>
      </c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4"/>
    </row>
    <row r="80" spans="2:29" x14ac:dyDescent="0.45">
      <c r="B80" s="4"/>
      <c r="C80" s="6"/>
      <c r="D80" s="6"/>
      <c r="E80" s="6"/>
      <c r="F80" s="6"/>
      <c r="G80" s="6"/>
      <c r="H80" s="6"/>
      <c r="I80" s="27">
        <f>_xlfn.XLOOKUP(Saudi_Regions_Cities[[#This Row],[المنطقة الإدارية]],Saudi_Regions[المنطقة الإدارية],Saudi_Regions[رمز المنطقة الإدارية],"")</f>
        <v>6</v>
      </c>
      <c r="J80" s="27" t="s">
        <v>230</v>
      </c>
      <c r="K80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6005</v>
      </c>
      <c r="L80" s="27" t="s">
        <v>303</v>
      </c>
      <c r="M80" s="27"/>
      <c r="N80" s="27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4"/>
    </row>
    <row r="81" spans="2:29" x14ac:dyDescent="0.45">
      <c r="B81" s="4"/>
      <c r="C81" s="6"/>
      <c r="D81" s="6"/>
      <c r="E81" s="6"/>
      <c r="F81" s="6"/>
      <c r="G81" s="6"/>
      <c r="H81" s="6"/>
      <c r="I81" s="27">
        <f>_xlfn.XLOOKUP(Saudi_Regions_Cities[[#This Row],[المنطقة الإدارية]],Saudi_Regions[المنطقة الإدارية],Saudi_Regions[رمز المنطقة الإدارية],"")</f>
        <v>1</v>
      </c>
      <c r="J81" s="27" t="s">
        <v>225</v>
      </c>
      <c r="K81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1012</v>
      </c>
      <c r="L81" s="27" t="s">
        <v>304</v>
      </c>
      <c r="M81" s="27">
        <v>25.240200000000002</v>
      </c>
      <c r="N81" s="27">
        <v>45.250999999999998</v>
      </c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4"/>
    </row>
    <row r="82" spans="2:29" x14ac:dyDescent="0.45">
      <c r="B82" s="4"/>
      <c r="C82" s="6"/>
      <c r="D82" s="6"/>
      <c r="E82" s="6"/>
      <c r="F82" s="6"/>
      <c r="G82" s="6"/>
      <c r="H82" s="6"/>
      <c r="I82" s="27">
        <f>_xlfn.XLOOKUP(Saudi_Regions_Cities[[#This Row],[المنطقة الإدارية]],Saudi_Regions[المنطقة الإدارية],Saudi_Regions[رمز المنطقة الإدارية],"")</f>
        <v>1</v>
      </c>
      <c r="J82" s="27" t="s">
        <v>225</v>
      </c>
      <c r="K82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1013</v>
      </c>
      <c r="L82" s="27" t="s">
        <v>305</v>
      </c>
      <c r="M82" s="27"/>
      <c r="N82" s="27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4"/>
    </row>
    <row r="83" spans="2:29" x14ac:dyDescent="0.45">
      <c r="B83" s="4"/>
      <c r="C83" s="6"/>
      <c r="D83" s="6"/>
      <c r="E83" s="6"/>
      <c r="F83" s="6"/>
      <c r="G83" s="6"/>
      <c r="H83" s="6"/>
      <c r="I83" s="27">
        <f>_xlfn.XLOOKUP(Saudi_Regions_Cities[[#This Row],[المنطقة الإدارية]],Saudi_Regions[المنطقة الإدارية],Saudi_Regions[رمز المنطقة الإدارية],"")</f>
        <v>4</v>
      </c>
      <c r="J83" s="27" t="s">
        <v>228</v>
      </c>
      <c r="K83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4005</v>
      </c>
      <c r="L83" s="27" t="s">
        <v>306</v>
      </c>
      <c r="M83" s="27">
        <v>23.78</v>
      </c>
      <c r="N83" s="27">
        <v>38.790599999999998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4"/>
    </row>
    <row r="84" spans="2:29" x14ac:dyDescent="0.45">
      <c r="B84" s="4"/>
      <c r="C84" s="6"/>
      <c r="D84" s="6"/>
      <c r="E84" s="6"/>
      <c r="F84" s="6"/>
      <c r="G84" s="6"/>
      <c r="H84" s="6"/>
      <c r="I84" s="27">
        <f>_xlfn.XLOOKUP(Saudi_Regions_Cities[[#This Row],[المنطقة الإدارية]],Saudi_Regions[المنطقة الإدارية],Saudi_Regions[رمز المنطقة الإدارية],"")</f>
        <v>1</v>
      </c>
      <c r="J84" s="27" t="s">
        <v>225</v>
      </c>
      <c r="K84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1014</v>
      </c>
      <c r="L84" s="27" t="s">
        <v>307</v>
      </c>
      <c r="M84" s="27"/>
      <c r="N84" s="27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4"/>
    </row>
    <row r="85" spans="2:29" x14ac:dyDescent="0.45">
      <c r="B85" s="4"/>
      <c r="C85" s="6"/>
      <c r="D85" s="6"/>
      <c r="E85" s="6"/>
      <c r="F85" s="6"/>
      <c r="G85" s="6"/>
      <c r="H85" s="6"/>
      <c r="I85" s="27">
        <f>_xlfn.XLOOKUP(Saudi_Regions_Cities[[#This Row],[المنطقة الإدارية]],Saudi_Regions[المنطقة الإدارية],Saudi_Regions[رمز المنطقة الإدارية],"")</f>
        <v>3</v>
      </c>
      <c r="J85" s="27" t="s">
        <v>227</v>
      </c>
      <c r="K85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3017</v>
      </c>
      <c r="L85" s="27" t="s">
        <v>308</v>
      </c>
      <c r="M85" s="27">
        <v>25.3703</v>
      </c>
      <c r="N85" s="27">
        <v>49.695599999999999</v>
      </c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4"/>
    </row>
    <row r="86" spans="2:29" x14ac:dyDescent="0.45">
      <c r="B86" s="4"/>
      <c r="C86" s="6"/>
      <c r="D86" s="6"/>
      <c r="E86" s="6"/>
      <c r="F86" s="6"/>
      <c r="G86" s="6"/>
      <c r="H86" s="6"/>
      <c r="I86" s="27">
        <f>_xlfn.XLOOKUP(Saudi_Regions_Cities[[#This Row],[المنطقة الإدارية]],Saudi_Regions[المنطقة الإدارية],Saudi_Regions[رمز المنطقة الإدارية],"")</f>
        <v>2</v>
      </c>
      <c r="J86" s="27" t="s">
        <v>226</v>
      </c>
      <c r="K86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2010</v>
      </c>
      <c r="L86" s="27" t="s">
        <v>309</v>
      </c>
      <c r="M86" s="27"/>
      <c r="N86" s="27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4"/>
    </row>
    <row r="87" spans="2:29" x14ac:dyDescent="0.45">
      <c r="B87" s="4"/>
      <c r="C87" s="6"/>
      <c r="D87" s="6"/>
      <c r="E87" s="6"/>
      <c r="F87" s="6"/>
      <c r="G87" s="6"/>
      <c r="H87" s="6"/>
      <c r="I87" s="27">
        <f>_xlfn.XLOOKUP(Saudi_Regions_Cities[[#This Row],[المنطقة الإدارية]],Saudi_Regions[المنطقة الإدارية],Saudi_Regions[رمز المنطقة الإدارية],"")</f>
        <v>1</v>
      </c>
      <c r="J87" s="27" t="s">
        <v>225</v>
      </c>
      <c r="K87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1015</v>
      </c>
      <c r="L87" s="27" t="s">
        <v>310</v>
      </c>
      <c r="M87" s="27">
        <v>24.046399999999998</v>
      </c>
      <c r="N87" s="27">
        <v>45.265599999999999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4"/>
    </row>
    <row r="88" spans="2:29" x14ac:dyDescent="0.45">
      <c r="B88" s="4"/>
      <c r="C88" s="6"/>
      <c r="D88" s="6"/>
      <c r="E88" s="6"/>
      <c r="F88" s="6"/>
      <c r="G88" s="6"/>
      <c r="H88" s="6"/>
      <c r="I88" s="27">
        <f>_xlfn.XLOOKUP(Saudi_Regions_Cities[[#This Row],[المنطقة الإدارية]],Saudi_Regions[المنطقة الإدارية],Saudi_Regions[رمز المنطقة الإدارية],"")</f>
        <v>2</v>
      </c>
      <c r="J88" s="27" t="s">
        <v>226</v>
      </c>
      <c r="K88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2011</v>
      </c>
      <c r="L88" s="27" t="s">
        <v>311</v>
      </c>
      <c r="M88" s="27"/>
      <c r="N88" s="27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4"/>
    </row>
    <row r="89" spans="2:29" x14ac:dyDescent="0.45">
      <c r="B89" s="4"/>
      <c r="C89" s="6"/>
      <c r="D89" s="6"/>
      <c r="E89" s="6"/>
      <c r="F89" s="6"/>
      <c r="G89" s="6"/>
      <c r="H89" s="6"/>
      <c r="I89" s="27">
        <f>_xlfn.XLOOKUP(Saudi_Regions_Cities[[#This Row],[المنطقة الإدارية]],Saudi_Regions[المنطقة الإدارية],Saudi_Regions[رمز المنطقة الإدارية],"")</f>
        <v>3</v>
      </c>
      <c r="J89" s="27" t="s">
        <v>227</v>
      </c>
      <c r="K89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3018</v>
      </c>
      <c r="L89" s="27" t="s">
        <v>312</v>
      </c>
      <c r="M89" s="27">
        <v>28.311699999999998</v>
      </c>
      <c r="N89" s="27">
        <v>46.127499999999998</v>
      </c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4"/>
    </row>
    <row r="90" spans="2:29" x14ac:dyDescent="0.45">
      <c r="B90" s="4"/>
      <c r="C90" s="6"/>
      <c r="D90" s="6"/>
      <c r="E90" s="6"/>
      <c r="F90" s="6"/>
      <c r="G90" s="6"/>
      <c r="H90" s="6"/>
      <c r="I90" s="27">
        <f>_xlfn.XLOOKUP(Saudi_Regions_Cities[[#This Row],[المنطقة الإدارية]],Saudi_Regions[المنطقة الإدارية],Saudi_Regions[رمز المنطقة الإدارية],"")</f>
        <v>2</v>
      </c>
      <c r="J90" s="27" t="s">
        <v>226</v>
      </c>
      <c r="K90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2012</v>
      </c>
      <c r="L90" s="27" t="s">
        <v>313</v>
      </c>
      <c r="M90" s="27"/>
      <c r="N90" s="27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4"/>
    </row>
    <row r="91" spans="2:29" x14ac:dyDescent="0.45">
      <c r="B91" s="4"/>
      <c r="C91" s="6"/>
      <c r="D91" s="6"/>
      <c r="E91" s="6"/>
      <c r="F91" s="6"/>
      <c r="G91" s="6"/>
      <c r="H91" s="6"/>
      <c r="I91" s="27">
        <f>_xlfn.XLOOKUP(Saudi_Regions_Cities[[#This Row],[المنطقة الإدارية]],Saudi_Regions[المنطقة الإدارية],Saudi_Regions[رمز المنطقة الإدارية],"")</f>
        <v>3</v>
      </c>
      <c r="J91" s="27" t="s">
        <v>227</v>
      </c>
      <c r="K91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3019</v>
      </c>
      <c r="L91" s="27" t="s">
        <v>314</v>
      </c>
      <c r="M91" s="27">
        <v>26.583300000000001</v>
      </c>
      <c r="N91" s="27">
        <v>49.9833</v>
      </c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4"/>
    </row>
    <row r="92" spans="2:29" x14ac:dyDescent="0.45">
      <c r="B92" s="4"/>
      <c r="C92" s="6"/>
      <c r="D92" s="6"/>
      <c r="E92" s="6"/>
      <c r="F92" s="6"/>
      <c r="G92" s="6"/>
      <c r="H92" s="6"/>
      <c r="I92" s="27">
        <f>_xlfn.XLOOKUP(Saudi_Regions_Cities[[#This Row],[المنطقة الإدارية]],Saudi_Regions[المنطقة الإدارية],Saudi_Regions[رمز المنطقة الإدارية],"")</f>
        <v>13</v>
      </c>
      <c r="J92" s="27" t="s">
        <v>237</v>
      </c>
      <c r="K92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13003</v>
      </c>
      <c r="L92" s="27" t="s">
        <v>315</v>
      </c>
      <c r="M92" s="27">
        <v>19.7593</v>
      </c>
      <c r="N92" s="27">
        <v>41.442500000000003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4"/>
    </row>
    <row r="93" spans="2:29" x14ac:dyDescent="0.45">
      <c r="B93" s="4"/>
      <c r="C93" s="6"/>
      <c r="D93" s="6"/>
      <c r="E93" s="6"/>
      <c r="F93" s="6"/>
      <c r="G93" s="6"/>
      <c r="H93" s="6"/>
      <c r="I93" s="27">
        <f>_xlfn.XLOOKUP(Saudi_Regions_Cities[[#This Row],[المنطقة الإدارية]],Saudi_Regions[المنطقة الإدارية],Saudi_Regions[رمز المنطقة الإدارية],"")</f>
        <v>6</v>
      </c>
      <c r="J93" s="27" t="s">
        <v>230</v>
      </c>
      <c r="K93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6006</v>
      </c>
      <c r="L93" s="27" t="s">
        <v>316</v>
      </c>
      <c r="M93" s="27"/>
      <c r="N93" s="27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4"/>
    </row>
    <row r="94" spans="2:29" x14ac:dyDescent="0.45">
      <c r="B94" s="4"/>
      <c r="C94" s="6"/>
      <c r="D94" s="6"/>
      <c r="E94" s="6"/>
      <c r="F94" s="6"/>
      <c r="G94" s="6"/>
      <c r="H94" s="6"/>
      <c r="I94" s="27">
        <f>_xlfn.XLOOKUP(Saudi_Regions_Cities[[#This Row],[المنطقة الإدارية]],Saudi_Regions[المنطقة الإدارية],Saudi_Regions[رمز المنطقة الإدارية],"")</f>
        <v>6</v>
      </c>
      <c r="J94" s="27" t="s">
        <v>230</v>
      </c>
      <c r="K94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6007</v>
      </c>
      <c r="L94" s="27" t="s">
        <v>317</v>
      </c>
      <c r="M94" s="27">
        <v>16.709700000000002</v>
      </c>
      <c r="N94" s="27">
        <v>42.954999999999998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4"/>
    </row>
    <row r="95" spans="2:29" x14ac:dyDescent="0.45">
      <c r="B95" s="4"/>
      <c r="C95" s="6"/>
      <c r="D95" s="6"/>
      <c r="E95" s="6"/>
      <c r="F95" s="6"/>
      <c r="G95" s="6"/>
      <c r="H95" s="6"/>
      <c r="I95" s="27">
        <f>_xlfn.XLOOKUP(Saudi_Regions_Cities[[#This Row],[المنطقة الإدارية]],Saudi_Regions[المنطقة الإدارية],Saudi_Regions[رمز المنطقة الإدارية],"")</f>
        <v>8</v>
      </c>
      <c r="J95" s="27" t="s">
        <v>232</v>
      </c>
      <c r="K95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8006</v>
      </c>
      <c r="L95" s="27" t="s">
        <v>318</v>
      </c>
      <c r="M95" s="27">
        <v>29.283300000000001</v>
      </c>
      <c r="N95" s="27">
        <v>34.933300000000003</v>
      </c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4"/>
    </row>
    <row r="96" spans="2:29" x14ac:dyDescent="0.45">
      <c r="B96" s="4"/>
      <c r="C96" s="6"/>
      <c r="D96" s="6"/>
      <c r="E96" s="6"/>
      <c r="F96" s="6"/>
      <c r="G96" s="6"/>
      <c r="H96" s="6"/>
      <c r="I96" s="27">
        <f>_xlfn.XLOOKUP(Saudi_Regions_Cities[[#This Row],[المنطقة الإدارية]],Saudi_Regions[المنطقة الإدارية],Saudi_Regions[رمز المنطقة الإدارية],"")</f>
        <v>7</v>
      </c>
      <c r="J96" s="27" t="s">
        <v>231</v>
      </c>
      <c r="K96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7007</v>
      </c>
      <c r="L96" s="27" t="s">
        <v>319</v>
      </c>
      <c r="M96" s="27"/>
      <c r="N96" s="27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4"/>
    </row>
    <row r="97" spans="2:29" x14ac:dyDescent="0.45">
      <c r="B97" s="4"/>
      <c r="C97" s="6"/>
      <c r="D97" s="6"/>
      <c r="E97" s="6"/>
      <c r="F97" s="6"/>
      <c r="G97" s="6"/>
      <c r="H97" s="6"/>
      <c r="I97" s="27">
        <f>_xlfn.XLOOKUP(Saudi_Regions_Cities[[#This Row],[المنطقة الإدارية]],Saudi_Regions[المنطقة الإدارية],Saudi_Regions[رمز المنطقة الإدارية],"")</f>
        <v>3</v>
      </c>
      <c r="J97" s="27" t="s">
        <v>227</v>
      </c>
      <c r="K97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3020</v>
      </c>
      <c r="L97" s="27" t="s">
        <v>320</v>
      </c>
      <c r="M97" s="27">
        <v>27.900500000000001</v>
      </c>
      <c r="N97" s="27">
        <v>45.528500000000001</v>
      </c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4"/>
    </row>
    <row r="98" spans="2:29" x14ac:dyDescent="0.45">
      <c r="B98" s="4"/>
      <c r="C98" s="6"/>
      <c r="D98" s="6"/>
      <c r="E98" s="6"/>
      <c r="F98" s="6"/>
      <c r="G98" s="6"/>
      <c r="H98" s="6"/>
      <c r="I98" s="27">
        <f>_xlfn.XLOOKUP(Saudi_Regions_Cities[[#This Row],[المنطقة الإدارية]],Saudi_Regions[المنطقة الإدارية],Saudi_Regions[رمز المنطقة الإدارية],"")</f>
        <v>1</v>
      </c>
      <c r="J98" s="27" t="s">
        <v>225</v>
      </c>
      <c r="K98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1016</v>
      </c>
      <c r="L98" s="27" t="s">
        <v>321</v>
      </c>
      <c r="M98" s="27">
        <v>20.459700000000002</v>
      </c>
      <c r="N98" s="27">
        <v>45.574399999999997</v>
      </c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4"/>
    </row>
    <row r="99" spans="2:29" x14ac:dyDescent="0.45">
      <c r="B99" s="4"/>
      <c r="C99" s="6"/>
      <c r="D99" s="6"/>
      <c r="E99" s="6"/>
      <c r="F99" s="6"/>
      <c r="G99" s="6"/>
      <c r="H99" s="6"/>
      <c r="I99" s="27">
        <f>_xlfn.XLOOKUP(Saudi_Regions_Cities[[#This Row],[المنطقة الإدارية]],Saudi_Regions[المنطقة الإدارية],Saudi_Regions[رمز المنطقة الإدارية],"")</f>
        <v>1</v>
      </c>
      <c r="J99" s="27" t="s">
        <v>225</v>
      </c>
      <c r="K99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1017</v>
      </c>
      <c r="L99" s="27" t="s">
        <v>322</v>
      </c>
      <c r="M99" s="27"/>
      <c r="N99" s="27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4"/>
    </row>
    <row r="100" spans="2:29" x14ac:dyDescent="0.45">
      <c r="B100" s="4"/>
      <c r="C100" s="6"/>
      <c r="D100" s="6"/>
      <c r="E100" s="6"/>
      <c r="F100" s="6"/>
      <c r="G100" s="6"/>
      <c r="H100" s="6"/>
      <c r="I100" s="27">
        <f>_xlfn.XLOOKUP(Saudi_Regions_Cities[[#This Row],[المنطقة الإدارية]],Saudi_Regions[المنطقة الإدارية],Saudi_Regions[رمز المنطقة الإدارية],"")</f>
        <v>4</v>
      </c>
      <c r="J100" s="27" t="s">
        <v>228</v>
      </c>
      <c r="K100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4006</v>
      </c>
      <c r="L100" s="27" t="s">
        <v>323</v>
      </c>
      <c r="M100" s="27"/>
      <c r="N100" s="27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4"/>
    </row>
    <row r="101" spans="2:29" x14ac:dyDescent="0.45">
      <c r="B101" s="4"/>
      <c r="C101" s="6"/>
      <c r="D101" s="6"/>
      <c r="E101" s="6"/>
      <c r="F101" s="6"/>
      <c r="G101" s="6"/>
      <c r="H101" s="6"/>
      <c r="I101" s="27">
        <f>_xlfn.XLOOKUP(Saudi_Regions_Cities[[#This Row],[المنطقة الإدارية]],Saudi_Regions[المنطقة الإدارية],Saudi_Regions[رمز المنطقة الإدارية],"")</f>
        <v>4</v>
      </c>
      <c r="J101" s="27" t="s">
        <v>228</v>
      </c>
      <c r="K101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4007</v>
      </c>
      <c r="L101" s="27" t="s">
        <v>324</v>
      </c>
      <c r="M101" s="27"/>
      <c r="N101" s="27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4"/>
    </row>
    <row r="102" spans="2:29" x14ac:dyDescent="0.45">
      <c r="B102" s="4"/>
      <c r="C102" s="6"/>
      <c r="D102" s="6"/>
      <c r="E102" s="6"/>
      <c r="F102" s="6"/>
      <c r="G102" s="6"/>
      <c r="H102" s="6"/>
      <c r="I102" s="27">
        <f>_xlfn.XLOOKUP(Saudi_Regions_Cities[[#This Row],[المنطقة الإدارية]],Saudi_Regions[المنطقة الإدارية],Saudi_Regions[رمز المنطقة الإدارية],"")</f>
        <v>5</v>
      </c>
      <c r="J102" s="27" t="s">
        <v>229</v>
      </c>
      <c r="K102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5006</v>
      </c>
      <c r="L102" s="27" t="s">
        <v>325</v>
      </c>
      <c r="M102" s="27"/>
      <c r="N102" s="27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4"/>
    </row>
    <row r="103" spans="2:29" x14ac:dyDescent="0.45">
      <c r="B103" s="4"/>
      <c r="C103" s="6"/>
      <c r="D103" s="6"/>
      <c r="E103" s="6"/>
      <c r="F103" s="6"/>
      <c r="G103" s="6"/>
      <c r="H103" s="6"/>
      <c r="I103" s="27">
        <f>_xlfn.XLOOKUP(Saudi_Regions_Cities[[#This Row],[المنطقة الإدارية]],Saudi_Regions[المنطقة الإدارية],Saudi_Regions[رمز المنطقة الإدارية],"")</f>
        <v>11</v>
      </c>
      <c r="J103" s="27" t="s">
        <v>235</v>
      </c>
      <c r="K103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11003</v>
      </c>
      <c r="L103" s="27" t="s">
        <v>326</v>
      </c>
      <c r="M103" s="27"/>
      <c r="N103" s="27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4"/>
    </row>
    <row r="104" spans="2:29" x14ac:dyDescent="0.45">
      <c r="B104" s="4"/>
      <c r="C104" s="6"/>
      <c r="D104" s="6"/>
      <c r="E104" s="6"/>
      <c r="F104" s="6"/>
      <c r="G104" s="6"/>
      <c r="H104" s="6"/>
      <c r="I104" s="27">
        <f>_xlfn.XLOOKUP(Saudi_Regions_Cities[[#This Row],[المنطقة الإدارية]],Saudi_Regions[المنطقة الإدارية],Saudi_Regions[رمز المنطقة الإدارية],"")</f>
        <v>3</v>
      </c>
      <c r="J104" s="27" t="s">
        <v>227</v>
      </c>
      <c r="K104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3021</v>
      </c>
      <c r="L104" s="27" t="s">
        <v>327</v>
      </c>
      <c r="M104" s="27">
        <v>25.4147</v>
      </c>
      <c r="N104" s="27">
        <v>49.623600000000003</v>
      </c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4"/>
    </row>
    <row r="105" spans="2:29" x14ac:dyDescent="0.45">
      <c r="B105" s="4"/>
      <c r="C105" s="6"/>
      <c r="D105" s="6"/>
      <c r="E105" s="6"/>
      <c r="F105" s="6"/>
      <c r="G105" s="6"/>
      <c r="H105" s="6"/>
      <c r="I105" s="27">
        <f>_xlfn.XLOOKUP(Saudi_Regions_Cities[[#This Row],[المنطقة الإدارية]],Saudi_Regions[المنطقة الإدارية],Saudi_Regions[رمز المنطقة الإدارية],"")</f>
        <v>5</v>
      </c>
      <c r="J105" s="27" t="s">
        <v>229</v>
      </c>
      <c r="K105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5007</v>
      </c>
      <c r="L105" s="27" t="s">
        <v>328</v>
      </c>
      <c r="M105" s="27">
        <v>19.12</v>
      </c>
      <c r="N105" s="27">
        <v>42.13</v>
      </c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4"/>
    </row>
    <row r="106" spans="2:29" x14ac:dyDescent="0.45">
      <c r="B106" s="4"/>
      <c r="C106" s="6"/>
      <c r="D106" s="6"/>
      <c r="E106" s="6"/>
      <c r="F106" s="6"/>
      <c r="G106" s="6"/>
      <c r="H106" s="6"/>
      <c r="I106" s="27">
        <f>_xlfn.XLOOKUP(Saudi_Regions_Cities[[#This Row],[المنطقة الإدارية]],Saudi_Regions[المنطقة الإدارية],Saudi_Regions[رمز المنطقة الإدارية],"")</f>
        <v>3</v>
      </c>
      <c r="J106" s="27" t="s">
        <v>227</v>
      </c>
      <c r="K106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3022</v>
      </c>
      <c r="L106" s="27" t="s">
        <v>329</v>
      </c>
      <c r="M106" s="27">
        <v>26.533100000000001</v>
      </c>
      <c r="N106" s="27">
        <v>49.994100000000003</v>
      </c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4"/>
    </row>
    <row r="107" spans="2:29" x14ac:dyDescent="0.45">
      <c r="B107" s="4"/>
      <c r="C107" s="6"/>
      <c r="D107" s="6"/>
      <c r="E107" s="6"/>
      <c r="F107" s="6"/>
      <c r="G107" s="6"/>
      <c r="H107" s="6"/>
      <c r="I107" s="27">
        <f>_xlfn.XLOOKUP(Saudi_Regions_Cities[[#This Row],[المنطقة الإدارية]],Saudi_Regions[المنطقة الإدارية],Saudi_Regions[رمز المنطقة الإدارية],"")</f>
        <v>2</v>
      </c>
      <c r="J107" s="27" t="s">
        <v>226</v>
      </c>
      <c r="K107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2013</v>
      </c>
      <c r="L107" s="27" t="s">
        <v>330</v>
      </c>
      <c r="M107" s="27"/>
      <c r="N107" s="27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4"/>
    </row>
    <row r="108" spans="2:29" x14ac:dyDescent="0.45">
      <c r="B108" s="4"/>
      <c r="C108" s="6"/>
      <c r="D108" s="6"/>
      <c r="E108" s="6"/>
      <c r="F108" s="6"/>
      <c r="G108" s="6"/>
      <c r="H108" s="6"/>
      <c r="I108" s="27">
        <f>_xlfn.XLOOKUP(Saudi_Regions_Cities[[#This Row],[المنطقة الإدارية]],Saudi_Regions[المنطقة الإدارية],Saudi_Regions[رمز المنطقة الإدارية],"")</f>
        <v>3</v>
      </c>
      <c r="J108" s="27" t="s">
        <v>227</v>
      </c>
      <c r="K108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3023</v>
      </c>
      <c r="L108" s="27" t="s">
        <v>331</v>
      </c>
      <c r="M108" s="27">
        <v>26.511099999999999</v>
      </c>
      <c r="N108" s="27">
        <v>49.965699999999998</v>
      </c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4"/>
    </row>
    <row r="109" spans="2:29" x14ac:dyDescent="0.45">
      <c r="B109" s="4"/>
      <c r="C109" s="6"/>
      <c r="D109" s="6"/>
      <c r="E109" s="6"/>
      <c r="F109" s="6"/>
      <c r="G109" s="6"/>
      <c r="H109" s="6"/>
      <c r="I109" s="27">
        <f>_xlfn.XLOOKUP(Saudi_Regions_Cities[[#This Row],[المنطقة الإدارية]],Saudi_Regions[المنطقة الإدارية],Saudi_Regions[رمز المنطقة الإدارية],"")</f>
        <v>3</v>
      </c>
      <c r="J109" s="27" t="s">
        <v>227</v>
      </c>
      <c r="K109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3024</v>
      </c>
      <c r="L109" s="27" t="s">
        <v>332</v>
      </c>
      <c r="M109" s="27">
        <v>25.425000000000001</v>
      </c>
      <c r="N109" s="27">
        <v>49.666600000000003</v>
      </c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4"/>
    </row>
    <row r="110" spans="2:29" x14ac:dyDescent="0.45">
      <c r="B110" s="4"/>
      <c r="C110" s="6"/>
      <c r="D110" s="6"/>
      <c r="E110" s="6"/>
      <c r="F110" s="6"/>
      <c r="G110" s="6"/>
      <c r="H110" s="6"/>
      <c r="I110" s="27">
        <f>_xlfn.XLOOKUP(Saudi_Regions_Cities[[#This Row],[المنطقة الإدارية]],Saudi_Regions[المنطقة الإدارية],Saudi_Regions[رمز المنطقة الإدارية],"")</f>
        <v>5</v>
      </c>
      <c r="J110" s="27" t="s">
        <v>229</v>
      </c>
      <c r="K110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5008</v>
      </c>
      <c r="L110" s="27" t="s">
        <v>333</v>
      </c>
      <c r="M110" s="27">
        <v>19.116700000000002</v>
      </c>
      <c r="N110" s="27">
        <v>41.916699999999999</v>
      </c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4"/>
    </row>
    <row r="111" spans="2:29" x14ac:dyDescent="0.45">
      <c r="B111" s="4"/>
      <c r="C111" s="6"/>
      <c r="D111" s="6"/>
      <c r="E111" s="6"/>
      <c r="F111" s="6"/>
      <c r="G111" s="6"/>
      <c r="H111" s="6"/>
      <c r="I111" s="27">
        <f>_xlfn.XLOOKUP(Saudi_Regions_Cities[[#This Row],[المنطقة الإدارية]],Saudi_Regions[المنطقة الإدارية],Saudi_Regions[رمز المنطقة الإدارية],"")</f>
        <v>3</v>
      </c>
      <c r="J111" s="27" t="s">
        <v>227</v>
      </c>
      <c r="K111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3025</v>
      </c>
      <c r="L111" s="27" t="s">
        <v>334</v>
      </c>
      <c r="M111" s="27">
        <v>25.348299999999998</v>
      </c>
      <c r="N111" s="27">
        <v>49.681699999999999</v>
      </c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4"/>
    </row>
    <row r="112" spans="2:29" x14ac:dyDescent="0.45">
      <c r="B112" s="4"/>
      <c r="C112" s="6"/>
      <c r="D112" s="6"/>
      <c r="E112" s="6"/>
      <c r="F112" s="6"/>
      <c r="G112" s="6"/>
      <c r="H112" s="6"/>
      <c r="I112" s="27">
        <f>_xlfn.XLOOKUP(Saudi_Regions_Cities[[#This Row],[المنطقة الإدارية]],Saudi_Regions[المنطقة الإدارية],Saudi_Regions[رمز المنطقة الإدارية],"")</f>
        <v>3</v>
      </c>
      <c r="J112" s="27" t="s">
        <v>227</v>
      </c>
      <c r="K112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3026</v>
      </c>
      <c r="L112" s="27" t="s">
        <v>335</v>
      </c>
      <c r="M112" s="27">
        <v>26.5669</v>
      </c>
      <c r="N112" s="27">
        <v>49.979300000000002</v>
      </c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4"/>
    </row>
    <row r="113" spans="2:29" x14ac:dyDescent="0.45">
      <c r="B113" s="4"/>
      <c r="C113" s="6"/>
      <c r="D113" s="6"/>
      <c r="E113" s="6"/>
      <c r="F113" s="6"/>
      <c r="G113" s="6"/>
      <c r="H113" s="6"/>
      <c r="I113" s="27">
        <f>_xlfn.XLOOKUP(Saudi_Regions_Cities[[#This Row],[المنطقة الإدارية]],Saudi_Regions[المنطقة الإدارية],Saudi_Regions[رمز المنطقة الإدارية],"")</f>
        <v>2</v>
      </c>
      <c r="J113" s="27" t="s">
        <v>226</v>
      </c>
      <c r="K113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2014</v>
      </c>
      <c r="L113" s="27" t="s">
        <v>336</v>
      </c>
      <c r="M113" s="27">
        <v>20.149999999999999</v>
      </c>
      <c r="N113" s="27">
        <v>40.2667</v>
      </c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4"/>
    </row>
    <row r="114" spans="2:29" x14ac:dyDescent="0.45">
      <c r="B114" s="4"/>
      <c r="C114" s="6"/>
      <c r="D114" s="6"/>
      <c r="E114" s="6"/>
      <c r="F114" s="6"/>
      <c r="G114" s="6"/>
      <c r="H114" s="6"/>
      <c r="I114" s="27">
        <f>_xlfn.XLOOKUP(Saudi_Regions_Cities[[#This Row],[المنطقة الإدارية]],Saudi_Regions[المنطقة الإدارية],Saudi_Regions[رمز المنطقة الإدارية],"")</f>
        <v>3</v>
      </c>
      <c r="J114" s="27" t="s">
        <v>227</v>
      </c>
      <c r="K114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3027</v>
      </c>
      <c r="L114" s="27" t="s">
        <v>337</v>
      </c>
      <c r="M114" s="27">
        <v>25.443300000000001</v>
      </c>
      <c r="N114" s="27">
        <v>49.659399999999998</v>
      </c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4"/>
    </row>
    <row r="115" spans="2:29" x14ac:dyDescent="0.45">
      <c r="B115" s="4"/>
      <c r="C115" s="6"/>
      <c r="D115" s="6"/>
      <c r="E115" s="6"/>
      <c r="F115" s="6"/>
      <c r="G115" s="6"/>
      <c r="H115" s="6"/>
      <c r="I115" s="27">
        <f>_xlfn.XLOOKUP(Saudi_Regions_Cities[[#This Row],[المنطقة الإدارية]],Saudi_Regions[المنطقة الإدارية],Saudi_Regions[رمز المنطقة الإدارية],"")</f>
        <v>4</v>
      </c>
      <c r="J115" s="27" t="s">
        <v>228</v>
      </c>
      <c r="K115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4008</v>
      </c>
      <c r="L115" s="27" t="s">
        <v>338</v>
      </c>
      <c r="M115" s="27"/>
      <c r="N115" s="27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4"/>
    </row>
    <row r="116" spans="2:29" x14ac:dyDescent="0.45">
      <c r="B116" s="4"/>
      <c r="C116" s="6"/>
      <c r="D116" s="6"/>
      <c r="E116" s="6"/>
      <c r="F116" s="6"/>
      <c r="G116" s="6"/>
      <c r="H116" s="6"/>
      <c r="I116" s="27">
        <f>_xlfn.XLOOKUP(Saudi_Regions_Cities[[#This Row],[المنطقة الإدارية]],Saudi_Regions[المنطقة الإدارية],Saudi_Regions[رمز المنطقة الإدارية],"")</f>
        <v>5</v>
      </c>
      <c r="J116" s="27" t="s">
        <v>229</v>
      </c>
      <c r="K116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5009</v>
      </c>
      <c r="L116" s="27" t="s">
        <v>339</v>
      </c>
      <c r="M116" s="27"/>
      <c r="N116" s="27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4"/>
    </row>
    <row r="117" spans="2:29" x14ac:dyDescent="0.45">
      <c r="B117" s="4"/>
      <c r="C117" s="6"/>
      <c r="D117" s="6"/>
      <c r="E117" s="6"/>
      <c r="F117" s="6"/>
      <c r="G117" s="6"/>
      <c r="H117" s="6"/>
      <c r="I117" s="27">
        <f>_xlfn.XLOOKUP(Saudi_Regions_Cities[[#This Row],[المنطقة الإدارية]],Saudi_Regions[المنطقة الإدارية],Saudi_Regions[رمز المنطقة الإدارية],"")</f>
        <v>2</v>
      </c>
      <c r="J117" s="27" t="s">
        <v>226</v>
      </c>
      <c r="K117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2015</v>
      </c>
      <c r="L117" s="27" t="s">
        <v>340</v>
      </c>
      <c r="M117" s="27">
        <v>22.1539</v>
      </c>
      <c r="N117" s="27">
        <v>39.318300000000001</v>
      </c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4"/>
    </row>
    <row r="118" spans="2:29" x14ac:dyDescent="0.45">
      <c r="B118" s="4"/>
      <c r="C118" s="6"/>
      <c r="D118" s="6"/>
      <c r="E118" s="6"/>
      <c r="F118" s="6"/>
      <c r="G118" s="6"/>
      <c r="H118" s="6"/>
      <c r="I118" s="27">
        <f>_xlfn.XLOOKUP(Saudi_Regions_Cities[[#This Row],[المنطقة الإدارية]],Saudi_Regions[المنطقة الإدارية],Saudi_Regions[رمز المنطقة الإدارية],"")</f>
        <v>3</v>
      </c>
      <c r="J118" s="27" t="s">
        <v>227</v>
      </c>
      <c r="K118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3028</v>
      </c>
      <c r="L118" s="27" t="s">
        <v>341</v>
      </c>
      <c r="M118" s="27">
        <v>26.906500000000001</v>
      </c>
      <c r="N118" s="27">
        <v>49.9208</v>
      </c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4"/>
    </row>
    <row r="119" spans="2:29" x14ac:dyDescent="0.45">
      <c r="B119" s="4"/>
      <c r="C119" s="6"/>
      <c r="D119" s="6"/>
      <c r="E119" s="6"/>
      <c r="F119" s="6"/>
      <c r="G119" s="6"/>
      <c r="H119" s="6"/>
      <c r="I119" s="27">
        <f>_xlfn.XLOOKUP(Saudi_Regions_Cities[[#This Row],[المنطقة الإدارية]],Saudi_Regions[المنطقة الإدارية],Saudi_Regions[رمز المنطقة الإدارية],"")</f>
        <v>5</v>
      </c>
      <c r="J119" s="27" t="s">
        <v>229</v>
      </c>
      <c r="K119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5010</v>
      </c>
      <c r="L119" s="27" t="s">
        <v>342</v>
      </c>
      <c r="M119" s="27"/>
      <c r="N119" s="27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4"/>
    </row>
    <row r="120" spans="2:29" x14ac:dyDescent="0.45">
      <c r="B120" s="4"/>
      <c r="C120" s="6"/>
      <c r="D120" s="6"/>
      <c r="E120" s="6"/>
      <c r="F120" s="6"/>
      <c r="G120" s="6"/>
      <c r="H120" s="6"/>
      <c r="I120" s="27">
        <f>_xlfn.XLOOKUP(Saudi_Regions_Cities[[#This Row],[المنطقة الإدارية]],Saudi_Regions[المنطقة الإدارية],Saudi_Regions[رمز المنطقة الإدارية],"")</f>
        <v>9</v>
      </c>
      <c r="J120" s="27" t="s">
        <v>233</v>
      </c>
      <c r="K120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9002</v>
      </c>
      <c r="L120" s="27" t="s">
        <v>343</v>
      </c>
      <c r="M120" s="27"/>
      <c r="N120" s="27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4"/>
    </row>
    <row r="121" spans="2:29" x14ac:dyDescent="0.45">
      <c r="B121" s="4"/>
      <c r="C121" s="6"/>
      <c r="D121" s="6"/>
      <c r="E121" s="6"/>
      <c r="F121" s="6"/>
      <c r="G121" s="6"/>
      <c r="H121" s="6"/>
      <c r="I121" s="27">
        <f>_xlfn.XLOOKUP(Saudi_Regions_Cities[[#This Row],[المنطقة الإدارية]],Saudi_Regions[المنطقة الإدارية],Saudi_Regions[رمز المنطقة الإدارية],"")</f>
        <v>13</v>
      </c>
      <c r="J121" s="27" t="s">
        <v>237</v>
      </c>
      <c r="K121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13004</v>
      </c>
      <c r="L121" s="27" t="s">
        <v>344</v>
      </c>
      <c r="M121" s="27">
        <v>20.2685</v>
      </c>
      <c r="N121" s="27">
        <v>41.649299999999997</v>
      </c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4"/>
    </row>
    <row r="122" spans="2:29" x14ac:dyDescent="0.45">
      <c r="B122" s="4"/>
      <c r="C122" s="6"/>
      <c r="D122" s="6"/>
      <c r="E122" s="6"/>
      <c r="F122" s="6"/>
      <c r="G122" s="6"/>
      <c r="H122" s="6"/>
      <c r="I122" s="27">
        <f>_xlfn.XLOOKUP(Saudi_Regions_Cities[[#This Row],[المنطقة الإدارية]],Saudi_Regions[المنطقة الإدارية],Saudi_Regions[رمز المنطقة الإدارية],"")</f>
        <v>3</v>
      </c>
      <c r="J122" s="27" t="s">
        <v>227</v>
      </c>
      <c r="K122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3029</v>
      </c>
      <c r="L122" s="27" t="s">
        <v>345</v>
      </c>
      <c r="M122" s="27">
        <v>28.44</v>
      </c>
      <c r="N122" s="27">
        <v>46.879399999999997</v>
      </c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4"/>
    </row>
    <row r="123" spans="2:29" x14ac:dyDescent="0.45">
      <c r="B123" s="4"/>
      <c r="C123" s="6"/>
      <c r="D123" s="6"/>
      <c r="E123" s="6"/>
      <c r="F123" s="6"/>
      <c r="G123" s="6"/>
      <c r="H123" s="6"/>
      <c r="I123" s="27">
        <f>_xlfn.XLOOKUP(Saudi_Regions_Cities[[#This Row],[المنطقة الإدارية]],Saudi_Regions[المنطقة الإدارية],Saudi_Regions[رمز المنطقة الإدارية],"")</f>
        <v>12</v>
      </c>
      <c r="J123" s="27" t="s">
        <v>236</v>
      </c>
      <c r="K123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12004</v>
      </c>
      <c r="L123" s="27" t="s">
        <v>346</v>
      </c>
      <c r="M123" s="27"/>
      <c r="N123" s="27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4"/>
    </row>
    <row r="124" spans="2:29" x14ac:dyDescent="0.45">
      <c r="B124" s="4"/>
      <c r="C124" s="6"/>
      <c r="D124" s="6"/>
      <c r="E124" s="6"/>
      <c r="F124" s="6"/>
      <c r="G124" s="6"/>
      <c r="H124" s="6"/>
      <c r="I124" s="27">
        <f>_xlfn.XLOOKUP(Saudi_Regions_Cities[[#This Row],[المنطقة الإدارية]],Saudi_Regions[المنطقة الإدارية],Saudi_Regions[رمز المنطقة الإدارية],"")</f>
        <v>7</v>
      </c>
      <c r="J124" s="27" t="s">
        <v>231</v>
      </c>
      <c r="K124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7008</v>
      </c>
      <c r="L124" s="27" t="s">
        <v>347</v>
      </c>
      <c r="M124" s="27"/>
      <c r="N124" s="27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4"/>
    </row>
    <row r="125" spans="2:29" x14ac:dyDescent="0.45">
      <c r="B125" s="4"/>
      <c r="C125" s="6"/>
      <c r="D125" s="6"/>
      <c r="E125" s="6"/>
      <c r="F125" s="6"/>
      <c r="G125" s="6"/>
      <c r="H125" s="6"/>
      <c r="I125" s="27">
        <f>_xlfn.XLOOKUP(Saudi_Regions_Cities[[#This Row],[المنطقة الإدارية]],Saudi_Regions[المنطقة الإدارية],Saudi_Regions[رمز المنطقة الإدارية],"")</f>
        <v>8</v>
      </c>
      <c r="J125" s="27" t="s">
        <v>232</v>
      </c>
      <c r="K125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8007</v>
      </c>
      <c r="L125" s="27" t="s">
        <v>348</v>
      </c>
      <c r="M125" s="27"/>
      <c r="N125" s="27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4"/>
    </row>
    <row r="126" spans="2:29" x14ac:dyDescent="0.45">
      <c r="B126" s="4"/>
      <c r="C126" s="6"/>
      <c r="D126" s="6"/>
      <c r="E126" s="6"/>
      <c r="F126" s="6"/>
      <c r="G126" s="6"/>
      <c r="H126" s="6"/>
      <c r="I126" s="27">
        <f>_xlfn.XLOOKUP(Saudi_Regions_Cities[[#This Row],[المنطقة الإدارية]],Saudi_Regions[المنطقة الإدارية],Saudi_Regions[رمز المنطقة الإدارية],"")</f>
        <v>1</v>
      </c>
      <c r="J126" s="27" t="s">
        <v>225</v>
      </c>
      <c r="K126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1018</v>
      </c>
      <c r="L126" s="27" t="s">
        <v>349</v>
      </c>
      <c r="M126" s="27"/>
      <c r="N126" s="27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4"/>
    </row>
    <row r="127" spans="2:29" x14ac:dyDescent="0.45">
      <c r="B127" s="4"/>
      <c r="C127" s="6"/>
      <c r="D127" s="6"/>
      <c r="E127" s="6"/>
      <c r="F127" s="6"/>
      <c r="G127" s="6"/>
      <c r="H127" s="6"/>
      <c r="I127" s="27">
        <f>_xlfn.XLOOKUP(Saudi_Regions_Cities[[#This Row],[المنطقة الإدارية]],Saudi_Regions[المنطقة الإدارية],Saudi_Regions[رمز المنطقة الإدارية],"")</f>
        <v>3</v>
      </c>
      <c r="J127" s="27" t="s">
        <v>227</v>
      </c>
      <c r="K127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3030</v>
      </c>
      <c r="L127" s="27" t="s">
        <v>350</v>
      </c>
      <c r="M127" s="27">
        <v>26.558299999999999</v>
      </c>
      <c r="N127" s="27">
        <v>49.950299999999999</v>
      </c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4"/>
    </row>
    <row r="128" spans="2:29" x14ac:dyDescent="0.45">
      <c r="B128" s="4"/>
      <c r="C128" s="6"/>
      <c r="D128" s="6"/>
      <c r="E128" s="6"/>
      <c r="F128" s="6"/>
      <c r="G128" s="6"/>
      <c r="H128" s="6"/>
      <c r="I128" s="27">
        <f>_xlfn.XLOOKUP(Saudi_Regions_Cities[[#This Row],[المنطقة الإدارية]],Saudi_Regions[المنطقة الإدارية],Saudi_Regions[رمز المنطقة الإدارية],"")</f>
        <v>4</v>
      </c>
      <c r="J128" s="27" t="s">
        <v>228</v>
      </c>
      <c r="K128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4009</v>
      </c>
      <c r="L128" s="27" t="s">
        <v>351</v>
      </c>
      <c r="M128" s="27"/>
      <c r="N128" s="27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4"/>
    </row>
    <row r="129" spans="2:29" x14ac:dyDescent="0.45">
      <c r="B129" s="4"/>
      <c r="C129" s="6"/>
      <c r="D129" s="6"/>
      <c r="E129" s="6"/>
      <c r="F129" s="6"/>
      <c r="G129" s="6"/>
      <c r="H129" s="6"/>
      <c r="I129" s="27">
        <f>_xlfn.XLOOKUP(Saudi_Regions_Cities[[#This Row],[المنطقة الإدارية]],Saudi_Regions[المنطقة الإدارية],Saudi_Regions[رمز المنطقة الإدارية],"")</f>
        <v>5</v>
      </c>
      <c r="J129" s="27" t="s">
        <v>229</v>
      </c>
      <c r="K129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5011</v>
      </c>
      <c r="L129" s="27" t="s">
        <v>352</v>
      </c>
      <c r="M129" s="27"/>
      <c r="N129" s="27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4"/>
    </row>
    <row r="130" spans="2:29" x14ac:dyDescent="0.45">
      <c r="B130" s="4"/>
      <c r="C130" s="6"/>
      <c r="D130" s="6"/>
      <c r="E130" s="6"/>
      <c r="F130" s="6"/>
      <c r="G130" s="6"/>
      <c r="H130" s="6"/>
      <c r="I130" s="27">
        <f>_xlfn.XLOOKUP(Saudi_Regions_Cities[[#This Row],[المنطقة الإدارية]],Saudi_Regions[المنطقة الإدارية],Saudi_Regions[رمز المنطقة الإدارية],"")</f>
        <v>6</v>
      </c>
      <c r="J130" s="27" t="s">
        <v>230</v>
      </c>
      <c r="K130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6008</v>
      </c>
      <c r="L130" s="27" t="s">
        <v>353</v>
      </c>
      <c r="M130" s="27"/>
      <c r="N130" s="27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4"/>
    </row>
    <row r="131" spans="2:29" x14ac:dyDescent="0.45">
      <c r="B131" s="4"/>
      <c r="C131" s="6"/>
      <c r="D131" s="6"/>
      <c r="E131" s="6"/>
      <c r="F131" s="6"/>
      <c r="G131" s="6"/>
      <c r="H131" s="6"/>
      <c r="I131" s="27">
        <f>_xlfn.XLOOKUP(Saudi_Regions_Cities[[#This Row],[المنطقة الإدارية]],Saudi_Regions[المنطقة الإدارية],Saudi_Regions[رمز المنطقة الإدارية],"")</f>
        <v>7</v>
      </c>
      <c r="J131" s="27" t="s">
        <v>231</v>
      </c>
      <c r="K131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7009</v>
      </c>
      <c r="L131" s="27" t="s">
        <v>354</v>
      </c>
      <c r="M131" s="27"/>
      <c r="N131" s="27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4"/>
    </row>
    <row r="132" spans="2:29" x14ac:dyDescent="0.45">
      <c r="B132" s="4"/>
      <c r="C132" s="6"/>
      <c r="D132" s="6"/>
      <c r="E132" s="6"/>
      <c r="F132" s="6"/>
      <c r="G132" s="6"/>
      <c r="H132" s="6"/>
      <c r="I132" s="27">
        <f>_xlfn.XLOOKUP(Saudi_Regions_Cities[[#This Row],[المنطقة الإدارية]],Saudi_Regions[المنطقة الإدارية],Saudi_Regions[رمز المنطقة الإدارية],"")</f>
        <v>3</v>
      </c>
      <c r="J132" s="27" t="s">
        <v>227</v>
      </c>
      <c r="K132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3031</v>
      </c>
      <c r="L132" s="27" t="s">
        <v>355</v>
      </c>
      <c r="M132" s="27">
        <v>26.732800000000001</v>
      </c>
      <c r="N132" s="27">
        <v>49.948300000000003</v>
      </c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4"/>
    </row>
    <row r="133" spans="2:29" x14ac:dyDescent="0.45">
      <c r="B133" s="4"/>
      <c r="C133" s="6"/>
      <c r="D133" s="6"/>
      <c r="E133" s="6"/>
      <c r="F133" s="6"/>
      <c r="G133" s="6"/>
      <c r="H133" s="6"/>
      <c r="I133" s="27">
        <f>_xlfn.XLOOKUP(Saudi_Regions_Cities[[#This Row],[المنطقة الإدارية]],Saudi_Regions[المنطقة الإدارية],Saudi_Regions[رمز المنطقة الإدارية],"")</f>
        <v>3</v>
      </c>
      <c r="J133" s="27" t="s">
        <v>227</v>
      </c>
      <c r="K133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3032</v>
      </c>
      <c r="L133" s="27" t="s">
        <v>356</v>
      </c>
      <c r="M133" s="27">
        <v>25.421500000000002</v>
      </c>
      <c r="N133" s="27">
        <v>49.622599999999998</v>
      </c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4"/>
    </row>
    <row r="134" spans="2:29" x14ac:dyDescent="0.45">
      <c r="B134" s="4"/>
      <c r="C134" s="6"/>
      <c r="D134" s="6"/>
      <c r="E134" s="6"/>
      <c r="F134" s="6"/>
      <c r="G134" s="6"/>
      <c r="H134" s="6"/>
      <c r="I134" s="27">
        <f>_xlfn.XLOOKUP(Saudi_Regions_Cities[[#This Row],[المنطقة الإدارية]],Saudi_Regions[المنطقة الإدارية],Saudi_Regions[رمز المنطقة الإدارية],"")</f>
        <v>1</v>
      </c>
      <c r="J134" s="27" t="s">
        <v>225</v>
      </c>
      <c r="K134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1019</v>
      </c>
      <c r="L134" s="27" t="s">
        <v>357</v>
      </c>
      <c r="M134" s="27"/>
      <c r="N134" s="27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4"/>
    </row>
    <row r="135" spans="2:29" x14ac:dyDescent="0.45">
      <c r="B135" s="4"/>
      <c r="C135" s="6"/>
      <c r="D135" s="6"/>
      <c r="E135" s="6"/>
      <c r="F135" s="6"/>
      <c r="G135" s="6"/>
      <c r="H135" s="6"/>
      <c r="I135" s="27">
        <f>_xlfn.XLOOKUP(Saudi_Regions_Cities[[#This Row],[المنطقة الإدارية]],Saudi_Regions[المنطقة الإدارية],Saudi_Regions[رمز المنطقة الإدارية],"")</f>
        <v>1</v>
      </c>
      <c r="J135" s="27" t="s">
        <v>225</v>
      </c>
      <c r="K135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1020</v>
      </c>
      <c r="L135" s="27" t="s">
        <v>358</v>
      </c>
      <c r="M135" s="27">
        <v>25.595099999999999</v>
      </c>
      <c r="N135" s="27">
        <v>45.633800000000001</v>
      </c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4"/>
    </row>
    <row r="136" spans="2:29" x14ac:dyDescent="0.45">
      <c r="B136" s="4"/>
      <c r="C136" s="6"/>
      <c r="D136" s="6"/>
      <c r="E136" s="6"/>
      <c r="F136" s="6"/>
      <c r="G136" s="6"/>
      <c r="H136" s="6"/>
      <c r="I136" s="27">
        <f>_xlfn.XLOOKUP(Saudi_Regions_Cities[[#This Row],[المنطقة الإدارية]],Saudi_Regions[المنطقة الإدارية],Saudi_Regions[رمز المنطقة الإدارية],"")</f>
        <v>1</v>
      </c>
      <c r="J136" s="27" t="s">
        <v>225</v>
      </c>
      <c r="K136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1021</v>
      </c>
      <c r="L136" s="27" t="s">
        <v>359</v>
      </c>
      <c r="M136" s="27">
        <v>25.79</v>
      </c>
      <c r="N136" s="27">
        <v>45.38</v>
      </c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4"/>
    </row>
    <row r="137" spans="2:29" x14ac:dyDescent="0.45">
      <c r="B137" s="4"/>
      <c r="C137" s="6"/>
      <c r="D137" s="6"/>
      <c r="E137" s="6"/>
      <c r="F137" s="6"/>
      <c r="G137" s="6"/>
      <c r="H137" s="6"/>
      <c r="I137" s="27">
        <f>_xlfn.XLOOKUP(Saudi_Regions_Cities[[#This Row],[المنطقة الإدارية]],Saudi_Regions[المنطقة الإدارية],Saudi_Regions[رمز المنطقة الإدارية],"")</f>
        <v>1</v>
      </c>
      <c r="J137" s="27" t="s">
        <v>225</v>
      </c>
      <c r="K137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1022</v>
      </c>
      <c r="L137" s="27" t="s">
        <v>360</v>
      </c>
      <c r="M137" s="27"/>
      <c r="N137" s="27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4"/>
    </row>
    <row r="138" spans="2:29" x14ac:dyDescent="0.45">
      <c r="B138" s="4"/>
      <c r="C138" s="6"/>
      <c r="D138" s="6"/>
      <c r="E138" s="6"/>
      <c r="F138" s="6"/>
      <c r="G138" s="6"/>
      <c r="H138" s="6"/>
      <c r="I138" s="27">
        <f>_xlfn.XLOOKUP(Saudi_Regions_Cities[[#This Row],[المنطقة الإدارية]],Saudi_Regions[المنطقة الإدارية],Saudi_Regions[رمز المنطقة الإدارية],"")</f>
        <v>2</v>
      </c>
      <c r="J138" s="27" t="s">
        <v>226</v>
      </c>
      <c r="K138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2016</v>
      </c>
      <c r="L138" s="27" t="s">
        <v>361</v>
      </c>
      <c r="M138" s="27"/>
      <c r="N138" s="27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4"/>
    </row>
    <row r="139" spans="2:29" x14ac:dyDescent="0.45">
      <c r="B139" s="4"/>
      <c r="C139" s="6"/>
      <c r="D139" s="6"/>
      <c r="E139" s="6"/>
      <c r="F139" s="6"/>
      <c r="G139" s="6"/>
      <c r="H139" s="6"/>
      <c r="I139" s="27">
        <f>_xlfn.XLOOKUP(Saudi_Regions_Cities[[#This Row],[المنطقة الإدارية]],Saudi_Regions[المنطقة الإدارية],Saudi_Regions[رمز المنطقة الإدارية],"")</f>
        <v>13</v>
      </c>
      <c r="J139" s="27" t="s">
        <v>237</v>
      </c>
      <c r="K139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13005</v>
      </c>
      <c r="L139" s="27" t="s">
        <v>362</v>
      </c>
      <c r="M139" s="27">
        <v>19.896599999999999</v>
      </c>
      <c r="N139" s="27">
        <v>41.3444</v>
      </c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4"/>
    </row>
    <row r="140" spans="2:29" x14ac:dyDescent="0.45">
      <c r="B140" s="4"/>
      <c r="C140" s="6"/>
      <c r="D140" s="6"/>
      <c r="E140" s="6"/>
      <c r="F140" s="6"/>
      <c r="G140" s="6"/>
      <c r="H140" s="6"/>
      <c r="I140" s="27">
        <f>_xlfn.XLOOKUP(Saudi_Regions_Cities[[#This Row],[المنطقة الإدارية]],Saudi_Regions[المنطقة الإدارية],Saudi_Regions[رمز المنطقة الإدارية],"")</f>
        <v>6</v>
      </c>
      <c r="J140" s="27" t="s">
        <v>230</v>
      </c>
      <c r="K140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6009</v>
      </c>
      <c r="L140" s="27" t="s">
        <v>363</v>
      </c>
      <c r="M140" s="27"/>
      <c r="N140" s="27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4"/>
    </row>
    <row r="141" spans="2:29" x14ac:dyDescent="0.45">
      <c r="B141" s="4"/>
      <c r="C141" s="6"/>
      <c r="D141" s="6"/>
      <c r="E141" s="6"/>
      <c r="F141" s="6"/>
      <c r="G141" s="6"/>
      <c r="H141" s="6"/>
      <c r="I141" s="27">
        <f>_xlfn.XLOOKUP(Saudi_Regions_Cities[[#This Row],[المنطقة الإدارية]],Saudi_Regions[المنطقة الإدارية],Saudi_Regions[رمز المنطقة الإدارية],"")</f>
        <v>3</v>
      </c>
      <c r="J141" s="27" t="s">
        <v>227</v>
      </c>
      <c r="K141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3033</v>
      </c>
      <c r="L141" s="27" t="s">
        <v>364</v>
      </c>
      <c r="M141" s="27">
        <v>26.8154</v>
      </c>
      <c r="N141" s="27">
        <v>49.931399999999996</v>
      </c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4"/>
    </row>
    <row r="142" spans="2:29" x14ac:dyDescent="0.45">
      <c r="B142" s="4"/>
      <c r="C142" s="6"/>
      <c r="D142" s="6"/>
      <c r="E142" s="6"/>
      <c r="F142" s="6"/>
      <c r="G142" s="6"/>
      <c r="H142" s="6"/>
      <c r="I142" s="27">
        <f>_xlfn.XLOOKUP(Saudi_Regions_Cities[[#This Row],[المنطقة الإدارية]],Saudi_Regions[المنطقة الإدارية],Saudi_Regions[رمز المنطقة الإدارية],"")</f>
        <v>3</v>
      </c>
      <c r="J142" s="27" t="s">
        <v>227</v>
      </c>
      <c r="K142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3034</v>
      </c>
      <c r="L142" s="27" t="s">
        <v>365</v>
      </c>
      <c r="M142" s="27">
        <v>26.5794</v>
      </c>
      <c r="N142" s="27">
        <v>50.0244</v>
      </c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4"/>
    </row>
    <row r="143" spans="2:29" x14ac:dyDescent="0.45">
      <c r="B143" s="4"/>
      <c r="C143" s="6"/>
      <c r="D143" s="6"/>
      <c r="E143" s="6"/>
      <c r="F143" s="6"/>
      <c r="G143" s="6"/>
      <c r="H143" s="6"/>
      <c r="I143" s="27">
        <f>_xlfn.XLOOKUP(Saudi_Regions_Cities[[#This Row],[المنطقة الإدارية]],Saudi_Regions[المنطقة الإدارية],Saudi_Regions[رمز المنطقة الإدارية],"")</f>
        <v>3</v>
      </c>
      <c r="J143" s="27" t="s">
        <v>227</v>
      </c>
      <c r="K143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3035</v>
      </c>
      <c r="L143" s="27" t="s">
        <v>366</v>
      </c>
      <c r="M143" s="27">
        <v>25.422999999999998</v>
      </c>
      <c r="N143" s="27">
        <v>49.642499999999998</v>
      </c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4"/>
    </row>
    <row r="144" spans="2:29" x14ac:dyDescent="0.45">
      <c r="B144" s="4"/>
      <c r="C144" s="6"/>
      <c r="D144" s="6"/>
      <c r="E144" s="6"/>
      <c r="F144" s="6"/>
      <c r="G144" s="6"/>
      <c r="H144" s="6"/>
      <c r="I144" s="27">
        <f>_xlfn.XLOOKUP(Saudi_Regions_Cities[[#This Row],[المنطقة الإدارية]],Saudi_Regions[المنطقة الإدارية],Saudi_Regions[رمز المنطقة الإدارية],"")</f>
        <v>11</v>
      </c>
      <c r="J144" s="27" t="s">
        <v>235</v>
      </c>
      <c r="K144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11004</v>
      </c>
      <c r="L144" s="27" t="s">
        <v>367</v>
      </c>
      <c r="M144" s="27"/>
      <c r="N144" s="27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4"/>
    </row>
    <row r="145" spans="2:29" x14ac:dyDescent="0.45">
      <c r="B145" s="4"/>
      <c r="C145" s="6"/>
      <c r="D145" s="6"/>
      <c r="E145" s="6"/>
      <c r="F145" s="6"/>
      <c r="G145" s="6"/>
      <c r="H145" s="6"/>
      <c r="I145" s="27">
        <f>_xlfn.XLOOKUP(Saudi_Regions_Cities[[#This Row],[المنطقة الإدارية]],Saudi_Regions[المنطقة الإدارية],Saudi_Regions[رمز المنطقة الإدارية],"")</f>
        <v>5</v>
      </c>
      <c r="J145" s="27" t="s">
        <v>229</v>
      </c>
      <c r="K145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5012</v>
      </c>
      <c r="L145" s="27" t="s">
        <v>368</v>
      </c>
      <c r="M145" s="27"/>
      <c r="N145" s="27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4"/>
    </row>
    <row r="146" spans="2:29" x14ac:dyDescent="0.45">
      <c r="B146" s="4"/>
      <c r="C146" s="6"/>
      <c r="D146" s="6"/>
      <c r="E146" s="6"/>
      <c r="F146" s="6"/>
      <c r="G146" s="6"/>
      <c r="H146" s="6"/>
      <c r="I146" s="27">
        <f>_xlfn.XLOOKUP(Saudi_Regions_Cities[[#This Row],[المنطقة الإدارية]],Saudi_Regions[المنطقة الإدارية],Saudi_Regions[رمز المنطقة الإدارية],"")</f>
        <v>10</v>
      </c>
      <c r="J146" s="27" t="s">
        <v>234</v>
      </c>
      <c r="K146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10005</v>
      </c>
      <c r="L146" s="27" t="s">
        <v>369</v>
      </c>
      <c r="M146" s="27"/>
      <c r="N146" s="27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4"/>
    </row>
    <row r="147" spans="2:29" x14ac:dyDescent="0.45">
      <c r="B147" s="4"/>
      <c r="C147" s="6"/>
      <c r="D147" s="6"/>
      <c r="E147" s="6"/>
      <c r="F147" s="6"/>
      <c r="G147" s="6"/>
      <c r="H147" s="6"/>
      <c r="I147" s="27">
        <f>_xlfn.XLOOKUP(Saudi_Regions_Cities[[#This Row],[المنطقة الإدارية]],Saudi_Regions[المنطقة الإدارية],Saudi_Regions[رمز المنطقة الإدارية],"")</f>
        <v>3</v>
      </c>
      <c r="J147" s="27" t="s">
        <v>227</v>
      </c>
      <c r="K147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3036</v>
      </c>
      <c r="L147" s="27" t="s">
        <v>370</v>
      </c>
      <c r="M147" s="27">
        <v>25.4361</v>
      </c>
      <c r="N147" s="27">
        <v>49.602200000000003</v>
      </c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4"/>
    </row>
    <row r="148" spans="2:29" x14ac:dyDescent="0.45">
      <c r="B148" s="4"/>
      <c r="C148" s="6"/>
      <c r="D148" s="6"/>
      <c r="E148" s="6"/>
      <c r="F148" s="6"/>
      <c r="G148" s="6"/>
      <c r="H148" s="6"/>
      <c r="I148" s="27">
        <f>_xlfn.XLOOKUP(Saudi_Regions_Cities[[#This Row],[المنطقة الإدارية]],Saudi_Regions[المنطقة الإدارية],Saudi_Regions[رمز المنطقة الإدارية],"")</f>
        <v>9</v>
      </c>
      <c r="J148" s="27" t="s">
        <v>233</v>
      </c>
      <c r="K148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9003</v>
      </c>
      <c r="L148" s="27" t="s">
        <v>371</v>
      </c>
      <c r="M148" s="27">
        <v>27.1782</v>
      </c>
      <c r="N148" s="27">
        <v>42.442999999999998</v>
      </c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4"/>
    </row>
    <row r="149" spans="2:29" x14ac:dyDescent="0.45">
      <c r="B149" s="4"/>
      <c r="C149" s="6"/>
      <c r="D149" s="6"/>
      <c r="E149" s="6"/>
      <c r="F149" s="6"/>
      <c r="G149" s="6"/>
      <c r="H149" s="6"/>
      <c r="I149" s="27">
        <f>_xlfn.XLOOKUP(Saudi_Regions_Cities[[#This Row],[المنطقة الإدارية]],Saudi_Regions[المنطقة الإدارية],Saudi_Regions[رمز المنطقة الإدارية],"")</f>
        <v>7</v>
      </c>
      <c r="J149" s="27" t="s">
        <v>231</v>
      </c>
      <c r="K149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7010</v>
      </c>
      <c r="L149" s="27" t="s">
        <v>372</v>
      </c>
      <c r="M149" s="27"/>
      <c r="N149" s="27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4"/>
    </row>
    <row r="150" spans="2:29" x14ac:dyDescent="0.45">
      <c r="B150" s="4"/>
      <c r="C150" s="6"/>
      <c r="D150" s="6"/>
      <c r="E150" s="6"/>
      <c r="F150" s="6"/>
      <c r="G150" s="6"/>
      <c r="H150" s="6"/>
      <c r="I150" s="27">
        <f>_xlfn.XLOOKUP(Saudi_Regions_Cities[[#This Row],[المنطقة الإدارية]],Saudi_Regions[المنطقة الإدارية],Saudi_Regions[رمز المنطقة الإدارية],"")</f>
        <v>3</v>
      </c>
      <c r="J150" s="27" t="s">
        <v>227</v>
      </c>
      <c r="K150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3037</v>
      </c>
      <c r="L150" s="27" t="s">
        <v>373</v>
      </c>
      <c r="M150" s="27">
        <v>25.365100000000002</v>
      </c>
      <c r="N150" s="27">
        <v>49.694400000000002</v>
      </c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4"/>
    </row>
    <row r="151" spans="2:29" x14ac:dyDescent="0.45">
      <c r="B151" s="4"/>
      <c r="C151" s="6"/>
      <c r="D151" s="6"/>
      <c r="E151" s="6"/>
      <c r="F151" s="6"/>
      <c r="G151" s="6"/>
      <c r="H151" s="6"/>
      <c r="I151" s="27">
        <f>_xlfn.XLOOKUP(Saudi_Regions_Cities[[#This Row],[المنطقة الإدارية]],Saudi_Regions[المنطقة الإدارية],Saudi_Regions[رمز المنطقة الإدارية],"")</f>
        <v>6</v>
      </c>
      <c r="J151" s="27" t="s">
        <v>230</v>
      </c>
      <c r="K151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6010</v>
      </c>
      <c r="L151" s="27" t="s">
        <v>374</v>
      </c>
      <c r="M151" s="27"/>
      <c r="N151" s="27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4"/>
    </row>
    <row r="152" spans="2:29" x14ac:dyDescent="0.45">
      <c r="B152" s="4"/>
      <c r="C152" s="6"/>
      <c r="D152" s="6"/>
      <c r="E152" s="6"/>
      <c r="F152" s="6"/>
      <c r="G152" s="6"/>
      <c r="H152" s="6"/>
      <c r="I152" s="27">
        <f>_xlfn.XLOOKUP(Saudi_Regions_Cities[[#This Row],[المنطقة الإدارية]],Saudi_Regions[المنطقة الإدارية],Saudi_Regions[رمز المنطقة الإدارية],"")</f>
        <v>1</v>
      </c>
      <c r="J152" s="27" t="s">
        <v>225</v>
      </c>
      <c r="K152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1023</v>
      </c>
      <c r="L152" s="27" t="s">
        <v>375</v>
      </c>
      <c r="M152" s="27"/>
      <c r="N152" s="27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4"/>
    </row>
    <row r="153" spans="2:29" x14ac:dyDescent="0.45">
      <c r="B153" s="4"/>
      <c r="C153" s="6"/>
      <c r="D153" s="6"/>
      <c r="E153" s="6"/>
      <c r="F153" s="6"/>
      <c r="G153" s="6"/>
      <c r="H153" s="6"/>
      <c r="I153" s="27">
        <f>_xlfn.XLOOKUP(Saudi_Regions_Cities[[#This Row],[المنطقة الإدارية]],Saudi_Regions[المنطقة الإدارية],Saudi_Regions[رمز المنطقة الإدارية],"")</f>
        <v>3</v>
      </c>
      <c r="J153" s="27" t="s">
        <v>227</v>
      </c>
      <c r="K153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3038</v>
      </c>
      <c r="L153" s="27" t="s">
        <v>376</v>
      </c>
      <c r="M153" s="27">
        <v>27.571400000000001</v>
      </c>
      <c r="N153" s="27">
        <v>47.704700000000003</v>
      </c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4"/>
    </row>
    <row r="154" spans="2:29" x14ac:dyDescent="0.45">
      <c r="B154" s="4"/>
      <c r="C154" s="6"/>
      <c r="D154" s="6"/>
      <c r="E154" s="6"/>
      <c r="F154" s="6"/>
      <c r="G154" s="6"/>
      <c r="H154" s="6"/>
      <c r="I154" s="27">
        <f>_xlfn.XLOOKUP(Saudi_Regions_Cities[[#This Row],[المنطقة الإدارية]],Saudi_Regions[المنطقة الإدارية],Saudi_Regions[رمز المنطقة الإدارية],"")</f>
        <v>6</v>
      </c>
      <c r="J154" s="27" t="s">
        <v>230</v>
      </c>
      <c r="K154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6011</v>
      </c>
      <c r="L154" s="27" t="s">
        <v>377</v>
      </c>
      <c r="M154" s="27"/>
      <c r="N154" s="27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4"/>
    </row>
    <row r="155" spans="2:29" x14ac:dyDescent="0.45">
      <c r="B155" s="4"/>
      <c r="C155" s="6"/>
      <c r="D155" s="6"/>
      <c r="E155" s="6"/>
      <c r="F155" s="6"/>
      <c r="G155" s="6"/>
      <c r="H155" s="6"/>
      <c r="I155" s="27">
        <f>_xlfn.XLOOKUP(Saudi_Regions_Cities[[#This Row],[المنطقة الإدارية]],Saudi_Regions[المنطقة الإدارية],Saudi_Regions[رمز المنطقة الإدارية],"")</f>
        <v>5</v>
      </c>
      <c r="J155" s="27" t="s">
        <v>229</v>
      </c>
      <c r="K155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5013</v>
      </c>
      <c r="L155" s="27" t="s">
        <v>378</v>
      </c>
      <c r="M155" s="27"/>
      <c r="N155" s="27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4"/>
    </row>
    <row r="156" spans="2:29" x14ac:dyDescent="0.45">
      <c r="B156" s="4"/>
      <c r="C156" s="6"/>
      <c r="D156" s="6"/>
      <c r="E156" s="6"/>
      <c r="F156" s="6"/>
      <c r="G156" s="6"/>
      <c r="H156" s="6"/>
      <c r="I156" s="27">
        <f>_xlfn.XLOOKUP(Saudi_Regions_Cities[[#This Row],[المنطقة الإدارية]],Saudi_Regions[المنطقة الإدارية],Saudi_Regions[رمز المنطقة الإدارية],"")</f>
        <v>1</v>
      </c>
      <c r="J156" s="27" t="s">
        <v>225</v>
      </c>
      <c r="K156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1024</v>
      </c>
      <c r="L156" s="27" t="s">
        <v>379</v>
      </c>
      <c r="M156" s="27"/>
      <c r="N156" s="27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4"/>
    </row>
    <row r="157" spans="2:29" x14ac:dyDescent="0.45">
      <c r="B157" s="4"/>
      <c r="C157" s="6"/>
      <c r="D157" s="6"/>
      <c r="E157" s="6"/>
      <c r="F157" s="6"/>
      <c r="G157" s="6"/>
      <c r="H157" s="6"/>
      <c r="I157" s="27">
        <f>_xlfn.XLOOKUP(Saudi_Regions_Cities[[#This Row],[المنطقة الإدارية]],Saudi_Regions[المنطقة الإدارية],Saudi_Regions[رمز المنطقة الإدارية],"")</f>
        <v>6</v>
      </c>
      <c r="J157" s="27" t="s">
        <v>230</v>
      </c>
      <c r="K157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6012</v>
      </c>
      <c r="L157" s="27" t="s">
        <v>380</v>
      </c>
      <c r="M157" s="27"/>
      <c r="N157" s="27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4"/>
    </row>
    <row r="158" spans="2:29" x14ac:dyDescent="0.45">
      <c r="B158" s="4"/>
      <c r="C158" s="6"/>
      <c r="D158" s="6"/>
      <c r="E158" s="6"/>
      <c r="F158" s="6"/>
      <c r="G158" s="6"/>
      <c r="H158" s="6"/>
      <c r="I158" s="27">
        <f>_xlfn.XLOOKUP(Saudi_Regions_Cities[[#This Row],[المنطقة الإدارية]],Saudi_Regions[المنطقة الإدارية],Saudi_Regions[رمز المنطقة الإدارية],"")</f>
        <v>6</v>
      </c>
      <c r="J158" s="27" t="s">
        <v>230</v>
      </c>
      <c r="K158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6013</v>
      </c>
      <c r="L158" s="27" t="s">
        <v>381</v>
      </c>
      <c r="M158" s="27"/>
      <c r="N158" s="27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4"/>
    </row>
    <row r="159" spans="2:29" x14ac:dyDescent="0.45">
      <c r="B159" s="4"/>
      <c r="C159" s="6"/>
      <c r="D159" s="6"/>
      <c r="E159" s="6"/>
      <c r="F159" s="6"/>
      <c r="G159" s="6"/>
      <c r="H159" s="6"/>
      <c r="I159" s="27">
        <f>_xlfn.XLOOKUP(Saudi_Regions_Cities[[#This Row],[المنطقة الإدارية]],Saudi_Regions[المنطقة الإدارية],Saudi_Regions[رمز المنطقة الإدارية],"")</f>
        <v>6</v>
      </c>
      <c r="J159" s="27" t="s">
        <v>230</v>
      </c>
      <c r="K159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6014</v>
      </c>
      <c r="L159" s="27" t="s">
        <v>382</v>
      </c>
      <c r="M159" s="27"/>
      <c r="N159" s="27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4"/>
    </row>
    <row r="160" spans="2:29" x14ac:dyDescent="0.45">
      <c r="B160" s="4"/>
      <c r="C160" s="6"/>
      <c r="D160" s="6"/>
      <c r="E160" s="6"/>
      <c r="F160" s="6"/>
      <c r="G160" s="6"/>
      <c r="H160" s="6"/>
      <c r="I160" s="27">
        <f>_xlfn.XLOOKUP(Saudi_Regions_Cities[[#This Row],[المنطقة الإدارية]],Saudi_Regions[المنطقة الإدارية],Saudi_Regions[رمز المنطقة الإدارية],"")</f>
        <v>1</v>
      </c>
      <c r="J160" s="27" t="s">
        <v>225</v>
      </c>
      <c r="K160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1025</v>
      </c>
      <c r="L160" s="27" t="s">
        <v>383</v>
      </c>
      <c r="M160" s="27"/>
      <c r="N160" s="27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4"/>
    </row>
    <row r="161" spans="2:29" x14ac:dyDescent="0.45">
      <c r="B161" s="4"/>
      <c r="C161" s="6"/>
      <c r="D161" s="6"/>
      <c r="E161" s="6"/>
      <c r="F161" s="6"/>
      <c r="G161" s="6"/>
      <c r="H161" s="6"/>
      <c r="I161" s="27">
        <f>_xlfn.XLOOKUP(Saudi_Regions_Cities[[#This Row],[المنطقة الإدارية]],Saudi_Regions[المنطقة الإدارية],Saudi_Regions[رمز المنطقة الإدارية],"")</f>
        <v>2</v>
      </c>
      <c r="J161" s="27" t="s">
        <v>226</v>
      </c>
      <c r="K161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2017</v>
      </c>
      <c r="L161" s="27" t="s">
        <v>384</v>
      </c>
      <c r="M161" s="27"/>
      <c r="N161" s="27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4"/>
    </row>
    <row r="162" spans="2:29" x14ac:dyDescent="0.45">
      <c r="B162" s="4"/>
      <c r="C162" s="6"/>
      <c r="D162" s="6"/>
      <c r="E162" s="6"/>
      <c r="F162" s="6"/>
      <c r="G162" s="6"/>
      <c r="H162" s="6"/>
      <c r="I162" s="27">
        <f>_xlfn.XLOOKUP(Saudi_Regions_Cities[[#This Row],[المنطقة الإدارية]],Saudi_Regions[المنطقة الإدارية],Saudi_Regions[رمز المنطقة الإدارية],"")</f>
        <v>3</v>
      </c>
      <c r="J162" s="27" t="s">
        <v>227</v>
      </c>
      <c r="K162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3039</v>
      </c>
      <c r="L162" s="27" t="s">
        <v>385</v>
      </c>
      <c r="M162" s="27">
        <v>25.3964</v>
      </c>
      <c r="N162" s="27">
        <v>49.607100000000003</v>
      </c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4"/>
    </row>
    <row r="163" spans="2:29" x14ac:dyDescent="0.45">
      <c r="B163" s="4"/>
      <c r="C163" s="6"/>
      <c r="D163" s="6"/>
      <c r="E163" s="6"/>
      <c r="F163" s="6"/>
      <c r="G163" s="6"/>
      <c r="H163" s="6"/>
      <c r="I163" s="27">
        <f>_xlfn.XLOOKUP(Saudi_Regions_Cities[[#This Row],[المنطقة الإدارية]],Saudi_Regions[المنطقة الإدارية],Saudi_Regions[رمز المنطقة الإدارية],"")</f>
        <v>7</v>
      </c>
      <c r="J163" s="27" t="s">
        <v>231</v>
      </c>
      <c r="K163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7011</v>
      </c>
      <c r="L163" s="27" t="s">
        <v>386</v>
      </c>
      <c r="M163" s="27"/>
      <c r="N163" s="27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4"/>
    </row>
    <row r="164" spans="2:29" x14ac:dyDescent="0.45">
      <c r="B164" s="4"/>
      <c r="C164" s="6"/>
      <c r="D164" s="6"/>
      <c r="E164" s="6"/>
      <c r="F164" s="6"/>
      <c r="G164" s="6"/>
      <c r="H164" s="6"/>
      <c r="I164" s="27">
        <f>_xlfn.XLOOKUP(Saudi_Regions_Cities[[#This Row],[المنطقة الإدارية]],Saudi_Regions[المنطقة الإدارية],Saudi_Regions[رمز المنطقة الإدارية],"")</f>
        <v>3</v>
      </c>
      <c r="J164" s="27" t="s">
        <v>227</v>
      </c>
      <c r="K164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3040</v>
      </c>
      <c r="L164" s="27" t="s">
        <v>387</v>
      </c>
      <c r="M164" s="27">
        <v>25.419699999999999</v>
      </c>
      <c r="N164" s="27">
        <v>49.628300000000003</v>
      </c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4"/>
    </row>
    <row r="165" spans="2:29" x14ac:dyDescent="0.45">
      <c r="B165" s="4"/>
      <c r="C165" s="6"/>
      <c r="D165" s="6"/>
      <c r="E165" s="6"/>
      <c r="F165" s="6"/>
      <c r="G165" s="6"/>
      <c r="H165" s="6"/>
      <c r="I165" s="27">
        <f>_xlfn.XLOOKUP(Saudi_Regions_Cities[[#This Row],[المنطقة الإدارية]],Saudi_Regions[المنطقة الإدارية],Saudi_Regions[رمز المنطقة الإدارية],"")</f>
        <v>2</v>
      </c>
      <c r="J165" s="27" t="s">
        <v>226</v>
      </c>
      <c r="K165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2018</v>
      </c>
      <c r="L165" s="27" t="s">
        <v>388</v>
      </c>
      <c r="M165" s="27"/>
      <c r="N165" s="27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4"/>
    </row>
    <row r="166" spans="2:29" x14ac:dyDescent="0.45">
      <c r="B166" s="4"/>
      <c r="C166" s="6"/>
      <c r="D166" s="6"/>
      <c r="E166" s="6"/>
      <c r="F166" s="6"/>
      <c r="G166" s="6"/>
      <c r="H166" s="6"/>
      <c r="I166" s="27">
        <f>_xlfn.XLOOKUP(Saudi_Regions_Cities[[#This Row],[المنطقة الإدارية]],Saudi_Regions[المنطقة الإدارية],Saudi_Regions[رمز المنطقة الإدارية],"")</f>
        <v>2</v>
      </c>
      <c r="J166" s="27" t="s">
        <v>226</v>
      </c>
      <c r="K166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2019</v>
      </c>
      <c r="L166" s="27" t="s">
        <v>389</v>
      </c>
      <c r="M166" s="27"/>
      <c r="N166" s="27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4"/>
    </row>
    <row r="167" spans="2:29" x14ac:dyDescent="0.45">
      <c r="B167" s="4"/>
      <c r="C167" s="6"/>
      <c r="D167" s="6"/>
      <c r="E167" s="6"/>
      <c r="F167" s="6"/>
      <c r="G167" s="6"/>
      <c r="H167" s="6"/>
      <c r="I167" s="27">
        <f>_xlfn.XLOOKUP(Saudi_Regions_Cities[[#This Row],[المنطقة الإدارية]],Saudi_Regions[المنطقة الإدارية],Saudi_Regions[رمز المنطقة الإدارية],"")</f>
        <v>2</v>
      </c>
      <c r="J167" s="27" t="s">
        <v>226</v>
      </c>
      <c r="K167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2020</v>
      </c>
      <c r="L167" s="27" t="s">
        <v>390</v>
      </c>
      <c r="M167" s="27"/>
      <c r="N167" s="27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4"/>
    </row>
    <row r="168" spans="2:29" x14ac:dyDescent="0.45">
      <c r="B168" s="4"/>
      <c r="C168" s="6"/>
      <c r="D168" s="6"/>
      <c r="E168" s="6"/>
      <c r="F168" s="6"/>
      <c r="G168" s="6"/>
      <c r="H168" s="6"/>
      <c r="I168" s="27">
        <f>_xlfn.XLOOKUP(Saudi_Regions_Cities[[#This Row],[المنطقة الإدارية]],Saudi_Regions[المنطقة الإدارية],Saudi_Regions[رمز المنطقة الإدارية],"")</f>
        <v>2</v>
      </c>
      <c r="J168" s="27" t="s">
        <v>226</v>
      </c>
      <c r="K168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2021</v>
      </c>
      <c r="L168" s="27" t="s">
        <v>391</v>
      </c>
      <c r="M168" s="27"/>
      <c r="N168" s="27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4"/>
    </row>
    <row r="169" spans="2:29" x14ac:dyDescent="0.45">
      <c r="B169" s="4"/>
      <c r="C169" s="6"/>
      <c r="D169" s="6"/>
      <c r="E169" s="6"/>
      <c r="F169" s="6"/>
      <c r="G169" s="6"/>
      <c r="H169" s="6"/>
      <c r="I169" s="27">
        <f>_xlfn.XLOOKUP(Saudi_Regions_Cities[[#This Row],[المنطقة الإدارية]],Saudi_Regions[المنطقة الإدارية],Saudi_Regions[رمز المنطقة الإدارية],"")</f>
        <v>9</v>
      </c>
      <c r="J169" s="27" t="s">
        <v>233</v>
      </c>
      <c r="K169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9004</v>
      </c>
      <c r="L169" s="27" t="s">
        <v>392</v>
      </c>
      <c r="M169" s="27"/>
      <c r="N169" s="27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4"/>
    </row>
    <row r="170" spans="2:29" x14ac:dyDescent="0.45">
      <c r="B170" s="4"/>
      <c r="C170" s="6"/>
      <c r="D170" s="6"/>
      <c r="E170" s="6"/>
      <c r="F170" s="6"/>
      <c r="G170" s="6"/>
      <c r="H170" s="6"/>
      <c r="I170" s="27">
        <f>_xlfn.XLOOKUP(Saudi_Regions_Cities[[#This Row],[المنطقة الإدارية]],Saudi_Regions[المنطقة الإدارية],Saudi_Regions[رمز المنطقة الإدارية],"")</f>
        <v>6</v>
      </c>
      <c r="J170" s="27" t="s">
        <v>230</v>
      </c>
      <c r="K170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6015</v>
      </c>
      <c r="L170" s="27" t="s">
        <v>393</v>
      </c>
      <c r="M170" s="27">
        <v>17.199466699999999</v>
      </c>
      <c r="N170" s="27">
        <v>42.663389600000002</v>
      </c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4"/>
    </row>
    <row r="171" spans="2:29" x14ac:dyDescent="0.45">
      <c r="B171" s="4"/>
      <c r="C171" s="6"/>
      <c r="D171" s="6"/>
      <c r="E171" s="6"/>
      <c r="F171" s="6"/>
      <c r="G171" s="6"/>
      <c r="H171" s="6"/>
      <c r="I171" s="27">
        <f>_xlfn.XLOOKUP(Saudi_Regions_Cities[[#This Row],[المنطقة الإدارية]],Saudi_Regions[المنطقة الإدارية],Saudi_Regions[رمز المنطقة الإدارية],"")</f>
        <v>2</v>
      </c>
      <c r="J171" s="27" t="s">
        <v>226</v>
      </c>
      <c r="K171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2022</v>
      </c>
      <c r="L171" s="27" t="s">
        <v>394</v>
      </c>
      <c r="M171" s="27"/>
      <c r="N171" s="27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4"/>
    </row>
    <row r="172" spans="2:29" x14ac:dyDescent="0.45">
      <c r="B172" s="4"/>
      <c r="C172" s="6"/>
      <c r="D172" s="6"/>
      <c r="E172" s="6"/>
      <c r="F172" s="6"/>
      <c r="G172" s="6"/>
      <c r="H172" s="6"/>
      <c r="I172" s="27">
        <f>_xlfn.XLOOKUP(Saudi_Regions_Cities[[#This Row],[المنطقة الإدارية]],Saudi_Regions[المنطقة الإدارية],Saudi_Regions[رمز المنطقة الإدارية],"")</f>
        <v>1</v>
      </c>
      <c r="J172" s="27" t="s">
        <v>225</v>
      </c>
      <c r="K172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1026</v>
      </c>
      <c r="L172" s="27" t="s">
        <v>395</v>
      </c>
      <c r="M172" s="27"/>
      <c r="N172" s="27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4"/>
    </row>
    <row r="173" spans="2:29" x14ac:dyDescent="0.45">
      <c r="B173" s="4"/>
      <c r="C173" s="6"/>
      <c r="D173" s="6"/>
      <c r="E173" s="6"/>
      <c r="F173" s="6"/>
      <c r="G173" s="6"/>
      <c r="H173" s="6"/>
      <c r="I173" s="27">
        <f>_xlfn.XLOOKUP(Saudi_Regions_Cities[[#This Row],[المنطقة الإدارية]],Saudi_Regions[المنطقة الإدارية],Saudi_Regions[رمز المنطقة الإدارية],"")</f>
        <v>3</v>
      </c>
      <c r="J173" s="27" t="s">
        <v>227</v>
      </c>
      <c r="K173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3041</v>
      </c>
      <c r="L173" s="27" t="s">
        <v>396</v>
      </c>
      <c r="M173" s="27">
        <v>26.5731</v>
      </c>
      <c r="N173" s="27">
        <v>50.001300000000001</v>
      </c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4"/>
    </row>
    <row r="174" spans="2:29" x14ac:dyDescent="0.45">
      <c r="B174" s="4"/>
      <c r="C174" s="6"/>
      <c r="D174" s="6"/>
      <c r="E174" s="6"/>
      <c r="F174" s="6"/>
      <c r="G174" s="6"/>
      <c r="H174" s="6"/>
      <c r="I174" s="27">
        <f>_xlfn.XLOOKUP(Saudi_Regions_Cities[[#This Row],[المنطقة الإدارية]],Saudi_Regions[المنطقة الإدارية],Saudi_Regions[رمز المنطقة الإدارية],"")</f>
        <v>4</v>
      </c>
      <c r="J174" s="27" t="s">
        <v>228</v>
      </c>
      <c r="K174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4010</v>
      </c>
      <c r="L174" s="27" t="s">
        <v>397</v>
      </c>
      <c r="M174" s="27"/>
      <c r="N174" s="27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4"/>
    </row>
    <row r="175" spans="2:29" x14ac:dyDescent="0.45">
      <c r="B175" s="4"/>
      <c r="C175" s="6"/>
      <c r="D175" s="6"/>
      <c r="E175" s="6"/>
      <c r="F175" s="6"/>
      <c r="G175" s="6"/>
      <c r="H175" s="6"/>
      <c r="I175" s="27">
        <f>_xlfn.XLOOKUP(Saudi_Regions_Cities[[#This Row],[المنطقة الإدارية]],Saudi_Regions[المنطقة الإدارية],Saudi_Regions[رمز المنطقة الإدارية],"")</f>
        <v>5</v>
      </c>
      <c r="J175" s="27" t="s">
        <v>229</v>
      </c>
      <c r="K175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5014</v>
      </c>
      <c r="L175" s="27" t="s">
        <v>398</v>
      </c>
      <c r="M175" s="27"/>
      <c r="N175" s="27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4"/>
    </row>
    <row r="176" spans="2:29" x14ac:dyDescent="0.45">
      <c r="B176" s="4"/>
      <c r="C176" s="6"/>
      <c r="D176" s="6"/>
      <c r="E176" s="6"/>
      <c r="F176" s="6"/>
      <c r="G176" s="6"/>
      <c r="H176" s="6"/>
      <c r="I176" s="27">
        <f>_xlfn.XLOOKUP(Saudi_Regions_Cities[[#This Row],[المنطقة الإدارية]],Saudi_Regions[المنطقة الإدارية],Saudi_Regions[رمز المنطقة الإدارية],"")</f>
        <v>1</v>
      </c>
      <c r="J176" s="27" t="s">
        <v>225</v>
      </c>
      <c r="K176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1027</v>
      </c>
      <c r="L176" s="27" t="s">
        <v>399</v>
      </c>
      <c r="M176" s="27"/>
      <c r="N176" s="27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4"/>
    </row>
    <row r="177" spans="2:29" x14ac:dyDescent="0.45">
      <c r="B177" s="4"/>
      <c r="C177" s="6"/>
      <c r="D177" s="6"/>
      <c r="E177" s="6"/>
      <c r="F177" s="6"/>
      <c r="G177" s="6"/>
      <c r="H177" s="6"/>
      <c r="I177" s="27">
        <f>_xlfn.XLOOKUP(Saudi_Regions_Cities[[#This Row],[المنطقة الإدارية]],Saudi_Regions[المنطقة الإدارية],Saudi_Regions[رمز المنطقة الإدارية],"")</f>
        <v>1</v>
      </c>
      <c r="J177" s="27" t="s">
        <v>225</v>
      </c>
      <c r="K177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1028</v>
      </c>
      <c r="L177" s="27" t="s">
        <v>400</v>
      </c>
      <c r="M177" s="27">
        <v>26.026700000000002</v>
      </c>
      <c r="N177" s="27">
        <v>44.960799999999999</v>
      </c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4"/>
    </row>
    <row r="178" spans="2:29" x14ac:dyDescent="0.45">
      <c r="B178" s="4"/>
      <c r="C178" s="6"/>
      <c r="D178" s="6"/>
      <c r="E178" s="6"/>
      <c r="F178" s="6"/>
      <c r="G178" s="6"/>
      <c r="H178" s="6"/>
      <c r="I178" s="27">
        <f>_xlfn.XLOOKUP(Saudi_Regions_Cities[[#This Row],[المنطقة الإدارية]],Saudi_Regions[المنطقة الإدارية],Saudi_Regions[رمز المنطقة الإدارية],"")</f>
        <v>13</v>
      </c>
      <c r="J178" s="27" t="s">
        <v>237</v>
      </c>
      <c r="K178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13006</v>
      </c>
      <c r="L178" s="27" t="s">
        <v>401</v>
      </c>
      <c r="M178" s="27">
        <v>20.183299999999999</v>
      </c>
      <c r="N178" s="27">
        <v>41.2333</v>
      </c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4"/>
    </row>
    <row r="179" spans="2:29" x14ac:dyDescent="0.45">
      <c r="B179" s="4"/>
      <c r="C179" s="6"/>
      <c r="D179" s="6"/>
      <c r="E179" s="6"/>
      <c r="F179" s="6"/>
      <c r="G179" s="6"/>
      <c r="H179" s="6"/>
      <c r="I179" s="27">
        <f>_xlfn.XLOOKUP(Saudi_Regions_Cities[[#This Row],[المنطقة الإدارية]],Saudi_Regions[المنطقة الإدارية],Saudi_Regions[رمز المنطقة الإدارية],"")</f>
        <v>3</v>
      </c>
      <c r="J179" s="27" t="s">
        <v>227</v>
      </c>
      <c r="K179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3042</v>
      </c>
      <c r="L179" s="27" t="s">
        <v>402</v>
      </c>
      <c r="M179" s="27">
        <v>25.382100000000001</v>
      </c>
      <c r="N179" s="27">
        <v>49.617800000000003</v>
      </c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4"/>
    </row>
    <row r="180" spans="2:29" x14ac:dyDescent="0.45">
      <c r="B180" s="4"/>
      <c r="C180" s="6"/>
      <c r="D180" s="6"/>
      <c r="E180" s="6"/>
      <c r="F180" s="6"/>
      <c r="G180" s="6"/>
      <c r="H180" s="6"/>
      <c r="I180" s="27">
        <f>_xlfn.XLOOKUP(Saudi_Regions_Cities[[#This Row],[المنطقة الإدارية]],Saudi_Regions[المنطقة الإدارية],Saudi_Regions[رمز المنطقة الإدارية],"")</f>
        <v>1</v>
      </c>
      <c r="J180" s="27" t="s">
        <v>225</v>
      </c>
      <c r="K180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1029</v>
      </c>
      <c r="L180" s="27" t="s">
        <v>403</v>
      </c>
      <c r="M180" s="27"/>
      <c r="N180" s="27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4"/>
    </row>
    <row r="181" spans="2:29" x14ac:dyDescent="0.45">
      <c r="B181" s="4"/>
      <c r="C181" s="6"/>
      <c r="D181" s="6"/>
      <c r="E181" s="6"/>
      <c r="F181" s="6"/>
      <c r="G181" s="6"/>
      <c r="H181" s="6"/>
      <c r="I181" s="27">
        <f>_xlfn.XLOOKUP(Saudi_Regions_Cities[[#This Row],[المنطقة الإدارية]],Saudi_Regions[المنطقة الإدارية],Saudi_Regions[رمز المنطقة الإدارية],"")</f>
        <v>6</v>
      </c>
      <c r="J181" s="27" t="s">
        <v>230</v>
      </c>
      <c r="K181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6016</v>
      </c>
      <c r="L181" s="27" t="s">
        <v>404</v>
      </c>
      <c r="M181" s="27"/>
      <c r="N181" s="27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4"/>
    </row>
    <row r="182" spans="2:29" x14ac:dyDescent="0.45">
      <c r="B182" s="4"/>
      <c r="C182" s="6"/>
      <c r="D182" s="6"/>
      <c r="E182" s="6"/>
      <c r="F182" s="6"/>
      <c r="G182" s="6"/>
      <c r="H182" s="6"/>
      <c r="I182" s="27">
        <f>_xlfn.XLOOKUP(Saudi_Regions_Cities[[#This Row],[المنطقة الإدارية]],Saudi_Regions[المنطقة الإدارية],Saudi_Regions[رمز المنطقة الإدارية],"")</f>
        <v>6</v>
      </c>
      <c r="J182" s="27" t="s">
        <v>230</v>
      </c>
      <c r="K182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6017</v>
      </c>
      <c r="L182" s="27" t="s">
        <v>405</v>
      </c>
      <c r="M182" s="27"/>
      <c r="N182" s="27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4"/>
    </row>
    <row r="183" spans="2:29" x14ac:dyDescent="0.45">
      <c r="B183" s="4"/>
      <c r="C183" s="6"/>
      <c r="D183" s="6"/>
      <c r="E183" s="6"/>
      <c r="F183" s="6"/>
      <c r="G183" s="6"/>
      <c r="H183" s="6"/>
      <c r="I183" s="27">
        <f>_xlfn.XLOOKUP(Saudi_Regions_Cities[[#This Row],[المنطقة الإدارية]],Saudi_Regions[المنطقة الإدارية],Saudi_Regions[رمز المنطقة الإدارية],"")</f>
        <v>6</v>
      </c>
      <c r="J183" s="27" t="s">
        <v>230</v>
      </c>
      <c r="K183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6018</v>
      </c>
      <c r="L183" s="27" t="s">
        <v>406</v>
      </c>
      <c r="M183" s="27"/>
      <c r="N183" s="27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4"/>
    </row>
    <row r="184" spans="2:29" x14ac:dyDescent="0.45">
      <c r="B184" s="4"/>
      <c r="C184" s="6"/>
      <c r="D184" s="6"/>
      <c r="E184" s="6"/>
      <c r="F184" s="6"/>
      <c r="G184" s="6"/>
      <c r="H184" s="6"/>
      <c r="I184" s="27">
        <f>_xlfn.XLOOKUP(Saudi_Regions_Cities[[#This Row],[المنطقة الإدارية]],Saudi_Regions[المنطقة الإدارية],Saudi_Regions[رمز المنطقة الإدارية],"")</f>
        <v>1</v>
      </c>
      <c r="J184" s="27" t="s">
        <v>225</v>
      </c>
      <c r="K184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1030</v>
      </c>
      <c r="L184" s="27" t="s">
        <v>407</v>
      </c>
      <c r="M184" s="27"/>
      <c r="N184" s="27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4"/>
    </row>
    <row r="185" spans="2:29" x14ac:dyDescent="0.45">
      <c r="B185" s="4"/>
      <c r="C185" s="6"/>
      <c r="D185" s="6"/>
      <c r="E185" s="6"/>
      <c r="F185" s="6"/>
      <c r="G185" s="6"/>
      <c r="H185" s="6"/>
      <c r="I185" s="27">
        <f>_xlfn.XLOOKUP(Saudi_Regions_Cities[[#This Row],[المنطقة الإدارية]],Saudi_Regions[المنطقة الإدارية],Saudi_Regions[رمز المنطقة الإدارية],"")</f>
        <v>3</v>
      </c>
      <c r="J185" s="27" t="s">
        <v>227</v>
      </c>
      <c r="K185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3043</v>
      </c>
      <c r="L185" s="27" t="s">
        <v>408</v>
      </c>
      <c r="M185" s="27">
        <v>25.4207</v>
      </c>
      <c r="N185" s="27">
        <v>49.605499999999999</v>
      </c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4"/>
    </row>
    <row r="186" spans="2:29" x14ac:dyDescent="0.45">
      <c r="B186" s="4"/>
      <c r="C186" s="6"/>
      <c r="D186" s="6"/>
      <c r="E186" s="6"/>
      <c r="F186" s="6"/>
      <c r="G186" s="6"/>
      <c r="H186" s="6"/>
      <c r="I186" s="27">
        <f>_xlfn.XLOOKUP(Saudi_Regions_Cities[[#This Row],[المنطقة الإدارية]],Saudi_Regions[المنطقة الإدارية],Saudi_Regions[رمز المنطقة الإدارية],"")</f>
        <v>4</v>
      </c>
      <c r="J186" s="27" t="s">
        <v>228</v>
      </c>
      <c r="K186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4011</v>
      </c>
      <c r="L186" s="27" t="s">
        <v>409</v>
      </c>
      <c r="M186" s="27"/>
      <c r="N186" s="27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4"/>
    </row>
    <row r="187" spans="2:29" x14ac:dyDescent="0.45">
      <c r="B187" s="4"/>
      <c r="C187" s="6"/>
      <c r="D187" s="6"/>
      <c r="E187" s="6"/>
      <c r="F187" s="6"/>
      <c r="G187" s="6"/>
      <c r="H187" s="6"/>
      <c r="I187" s="27">
        <f>_xlfn.XLOOKUP(Saudi_Regions_Cities[[#This Row],[المنطقة الإدارية]],Saudi_Regions[المنطقة الإدارية],Saudi_Regions[رمز المنطقة الإدارية],"")</f>
        <v>11</v>
      </c>
      <c r="J187" s="27" t="s">
        <v>235</v>
      </c>
      <c r="K187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11005</v>
      </c>
      <c r="L187" s="27" t="s">
        <v>410</v>
      </c>
      <c r="M187" s="27"/>
      <c r="N187" s="27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4"/>
    </row>
    <row r="188" spans="2:29" x14ac:dyDescent="0.45">
      <c r="B188" s="4"/>
      <c r="C188" s="6"/>
      <c r="D188" s="6"/>
      <c r="E188" s="6"/>
      <c r="F188" s="6"/>
      <c r="G188" s="6"/>
      <c r="H188" s="6"/>
      <c r="I188" s="27">
        <f>_xlfn.XLOOKUP(Saudi_Regions_Cities[[#This Row],[المنطقة الإدارية]],Saudi_Regions[المنطقة الإدارية],Saudi_Regions[رمز المنطقة الإدارية],"")</f>
        <v>9</v>
      </c>
      <c r="J188" s="27" t="s">
        <v>233</v>
      </c>
      <c r="K188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9005</v>
      </c>
      <c r="L188" s="27" t="s">
        <v>411</v>
      </c>
      <c r="M188" s="27"/>
      <c r="N188" s="27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4"/>
    </row>
    <row r="189" spans="2:29" x14ac:dyDescent="0.45">
      <c r="B189" s="4"/>
      <c r="C189" s="6"/>
      <c r="D189" s="6"/>
      <c r="E189" s="6"/>
      <c r="F189" s="6"/>
      <c r="G189" s="6"/>
      <c r="H189" s="6"/>
      <c r="I189" s="27">
        <f>_xlfn.XLOOKUP(Saudi_Regions_Cities[[#This Row],[المنطقة الإدارية]],Saudi_Regions[المنطقة الإدارية],Saudi_Regions[رمز المنطقة الإدارية],"")</f>
        <v>1</v>
      </c>
      <c r="J189" s="27" t="s">
        <v>225</v>
      </c>
      <c r="K189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1031</v>
      </c>
      <c r="L189" s="27" t="s">
        <v>412</v>
      </c>
      <c r="M189" s="27"/>
      <c r="N189" s="27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4"/>
    </row>
    <row r="190" spans="2:29" x14ac:dyDescent="0.45">
      <c r="B190" s="4"/>
      <c r="C190" s="6"/>
      <c r="D190" s="6"/>
      <c r="E190" s="6"/>
      <c r="F190" s="6"/>
      <c r="G190" s="6"/>
      <c r="H190" s="6"/>
      <c r="I190" s="27">
        <f>_xlfn.XLOOKUP(Saudi_Regions_Cities[[#This Row],[المنطقة الإدارية]],Saudi_Regions[المنطقة الإدارية],Saudi_Regions[رمز المنطقة الإدارية],"")</f>
        <v>1</v>
      </c>
      <c r="J190" s="27" t="s">
        <v>225</v>
      </c>
      <c r="K190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1032</v>
      </c>
      <c r="L190" s="27" t="s">
        <v>413</v>
      </c>
      <c r="M190" s="27"/>
      <c r="N190" s="27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4"/>
    </row>
    <row r="191" spans="2:29" x14ac:dyDescent="0.45">
      <c r="B191" s="4"/>
      <c r="C191" s="6"/>
      <c r="D191" s="6"/>
      <c r="E191" s="6"/>
      <c r="F191" s="6"/>
      <c r="G191" s="6"/>
      <c r="H191" s="6"/>
      <c r="I191" s="27">
        <f>_xlfn.XLOOKUP(Saudi_Regions_Cities[[#This Row],[المنطقة الإدارية]],Saudi_Regions[المنطقة الإدارية],Saudi_Regions[رمز المنطقة الإدارية],"")</f>
        <v>1</v>
      </c>
      <c r="J191" s="27" t="s">
        <v>225</v>
      </c>
      <c r="K191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1033</v>
      </c>
      <c r="L191" s="27" t="s">
        <v>414</v>
      </c>
      <c r="M191" s="27"/>
      <c r="N191" s="27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4"/>
    </row>
    <row r="192" spans="2:29" x14ac:dyDescent="0.45">
      <c r="B192" s="4"/>
      <c r="C192" s="6"/>
      <c r="D192" s="6"/>
      <c r="E192" s="6"/>
      <c r="F192" s="6"/>
      <c r="G192" s="6"/>
      <c r="H192" s="6"/>
      <c r="I192" s="27">
        <f>_xlfn.XLOOKUP(Saudi_Regions_Cities[[#This Row],[المنطقة الإدارية]],Saudi_Regions[المنطقة الإدارية],Saudi_Regions[رمز المنطقة الإدارية],"")</f>
        <v>1</v>
      </c>
      <c r="J192" s="27" t="s">
        <v>225</v>
      </c>
      <c r="K192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1034</v>
      </c>
      <c r="L192" s="27" t="s">
        <v>415</v>
      </c>
      <c r="M192" s="27">
        <v>25.926100000000002</v>
      </c>
      <c r="N192" s="27">
        <v>45.333599999999997</v>
      </c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4"/>
    </row>
    <row r="193" spans="2:29" x14ac:dyDescent="0.45">
      <c r="B193" s="4"/>
      <c r="C193" s="6"/>
      <c r="D193" s="6"/>
      <c r="E193" s="6"/>
      <c r="F193" s="6"/>
      <c r="G193" s="6"/>
      <c r="H193" s="6"/>
      <c r="I193" s="27">
        <f>_xlfn.XLOOKUP(Saudi_Regions_Cities[[#This Row],[المنطقة الإدارية]],Saudi_Regions[المنطقة الإدارية],Saudi_Regions[رمز المنطقة الإدارية],"")</f>
        <v>3</v>
      </c>
      <c r="J193" s="27" t="s">
        <v>227</v>
      </c>
      <c r="K193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3044</v>
      </c>
      <c r="L193" s="27" t="s">
        <v>416</v>
      </c>
      <c r="M193" s="27">
        <v>25.375499999999999</v>
      </c>
      <c r="N193" s="27">
        <v>49.583300000000001</v>
      </c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4"/>
    </row>
    <row r="194" spans="2:29" x14ac:dyDescent="0.45">
      <c r="B194" s="4"/>
      <c r="C194" s="6"/>
      <c r="D194" s="6"/>
      <c r="E194" s="6"/>
      <c r="F194" s="6"/>
      <c r="G194" s="6"/>
      <c r="H194" s="6"/>
      <c r="I194" s="27">
        <f>_xlfn.XLOOKUP(Saudi_Regions_Cities[[#This Row],[المنطقة الإدارية]],Saudi_Regions[المنطقة الإدارية],Saudi_Regions[رمز المنطقة الإدارية],"")</f>
        <v>3</v>
      </c>
      <c r="J194" s="27" t="s">
        <v>227</v>
      </c>
      <c r="K194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3045</v>
      </c>
      <c r="L194" s="27" t="s">
        <v>417</v>
      </c>
      <c r="M194" s="27">
        <v>25.360600000000002</v>
      </c>
      <c r="N194" s="27">
        <v>49.614100000000001</v>
      </c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4"/>
    </row>
    <row r="195" spans="2:29" x14ac:dyDescent="0.45">
      <c r="B195" s="4"/>
      <c r="C195" s="6"/>
      <c r="D195" s="6"/>
      <c r="E195" s="6"/>
      <c r="F195" s="6"/>
      <c r="G195" s="6"/>
      <c r="H195" s="6"/>
      <c r="I195" s="27">
        <f>_xlfn.XLOOKUP(Saudi_Regions_Cities[[#This Row],[المنطقة الإدارية]],Saudi_Regions[المنطقة الإدارية],Saudi_Regions[رمز المنطقة الإدارية],"")</f>
        <v>6</v>
      </c>
      <c r="J195" s="27" t="s">
        <v>230</v>
      </c>
      <c r="K195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6019</v>
      </c>
      <c r="L195" s="27" t="s">
        <v>418</v>
      </c>
      <c r="M195" s="27"/>
      <c r="N195" s="27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4"/>
    </row>
    <row r="196" spans="2:29" x14ac:dyDescent="0.45">
      <c r="B196" s="4"/>
      <c r="C196" s="6"/>
      <c r="D196" s="6"/>
      <c r="E196" s="6"/>
      <c r="F196" s="6"/>
      <c r="G196" s="6"/>
      <c r="H196" s="6"/>
      <c r="I196" s="27">
        <f>_xlfn.XLOOKUP(Saudi_Regions_Cities[[#This Row],[المنطقة الإدارية]],Saudi_Regions[المنطقة الإدارية],Saudi_Regions[رمز المنطقة الإدارية],"")</f>
        <v>1</v>
      </c>
      <c r="J196" s="27" t="s">
        <v>225</v>
      </c>
      <c r="K196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1035</v>
      </c>
      <c r="L196" s="27" t="s">
        <v>419</v>
      </c>
      <c r="M196" s="27"/>
      <c r="N196" s="27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4"/>
    </row>
    <row r="197" spans="2:29" x14ac:dyDescent="0.45">
      <c r="B197" s="4"/>
      <c r="C197" s="6"/>
      <c r="D197" s="6"/>
      <c r="E197" s="6"/>
      <c r="F197" s="6"/>
      <c r="G197" s="6"/>
      <c r="H197" s="6"/>
      <c r="I197" s="27">
        <f>_xlfn.XLOOKUP(Saudi_Regions_Cities[[#This Row],[المنطقة الإدارية]],Saudi_Regions[المنطقة الإدارية],Saudi_Regions[رمز المنطقة الإدارية],"")</f>
        <v>9</v>
      </c>
      <c r="J197" s="27" t="s">
        <v>233</v>
      </c>
      <c r="K197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9006</v>
      </c>
      <c r="L197" s="27" t="s">
        <v>420</v>
      </c>
      <c r="M197" s="27"/>
      <c r="N197" s="27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4"/>
    </row>
    <row r="198" spans="2:29" x14ac:dyDescent="0.45">
      <c r="B198" s="4"/>
      <c r="C198" s="6"/>
      <c r="D198" s="6"/>
      <c r="E198" s="6"/>
      <c r="F198" s="6"/>
      <c r="G198" s="6"/>
      <c r="H198" s="6"/>
      <c r="I198" s="27">
        <f>_xlfn.XLOOKUP(Saudi_Regions_Cities[[#This Row],[المنطقة الإدارية]],Saudi_Regions[المنطقة الإدارية],Saudi_Regions[رمز المنطقة الإدارية],"")</f>
        <v>1</v>
      </c>
      <c r="J198" s="27" t="s">
        <v>225</v>
      </c>
      <c r="K198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1036</v>
      </c>
      <c r="L198" s="27" t="s">
        <v>421</v>
      </c>
      <c r="M198" s="27">
        <v>24.148299999999999</v>
      </c>
      <c r="N198" s="27">
        <v>47.305</v>
      </c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4"/>
    </row>
    <row r="199" spans="2:29" x14ac:dyDescent="0.45">
      <c r="B199" s="4"/>
      <c r="C199" s="6"/>
      <c r="D199" s="6"/>
      <c r="E199" s="6"/>
      <c r="F199" s="6"/>
      <c r="G199" s="6"/>
      <c r="H199" s="6"/>
      <c r="I199" s="27">
        <f>_xlfn.XLOOKUP(Saudi_Regions_Cities[[#This Row],[المنطقة الإدارية]],Saudi_Regions[المنطقة الإدارية],Saudi_Regions[رمز المنطقة الإدارية],"")</f>
        <v>1</v>
      </c>
      <c r="J199" s="27" t="s">
        <v>225</v>
      </c>
      <c r="K199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1037</v>
      </c>
      <c r="L199" s="27" t="s">
        <v>422</v>
      </c>
      <c r="M199" s="27"/>
      <c r="N199" s="27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4"/>
    </row>
    <row r="200" spans="2:29" x14ac:dyDescent="0.45">
      <c r="B200" s="4"/>
      <c r="C200" s="6"/>
      <c r="D200" s="6"/>
      <c r="E200" s="6"/>
      <c r="F200" s="6"/>
      <c r="G200" s="6"/>
      <c r="H200" s="6"/>
      <c r="I200" s="27">
        <f>_xlfn.XLOOKUP(Saudi_Regions_Cities[[#This Row],[المنطقة الإدارية]],Saudi_Regions[المنطقة الإدارية],Saudi_Regions[رمز المنطقة الإدارية],"")</f>
        <v>3</v>
      </c>
      <c r="J200" s="27" t="s">
        <v>227</v>
      </c>
      <c r="K200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3046</v>
      </c>
      <c r="L200" s="27" t="s">
        <v>423</v>
      </c>
      <c r="M200" s="27">
        <v>25.366299999999999</v>
      </c>
      <c r="N200" s="27">
        <v>49.592700000000001</v>
      </c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4"/>
    </row>
    <row r="201" spans="2:29" x14ac:dyDescent="0.45">
      <c r="B201" s="4"/>
      <c r="C201" s="6"/>
      <c r="D201" s="6"/>
      <c r="E201" s="6"/>
      <c r="F201" s="6"/>
      <c r="G201" s="6"/>
      <c r="H201" s="6"/>
      <c r="I201" s="27">
        <f>_xlfn.XLOOKUP(Saudi_Regions_Cities[[#This Row],[المنطقة الإدارية]],Saudi_Regions[المنطقة الإدارية],Saudi_Regions[رمز المنطقة الإدارية],"")</f>
        <v>6</v>
      </c>
      <c r="J201" s="27" t="s">
        <v>230</v>
      </c>
      <c r="K201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6020</v>
      </c>
      <c r="L201" s="27" t="s">
        <v>424</v>
      </c>
      <c r="M201" s="27"/>
      <c r="N201" s="27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4"/>
    </row>
    <row r="202" spans="2:29" x14ac:dyDescent="0.45">
      <c r="B202" s="4"/>
      <c r="C202" s="6"/>
      <c r="D202" s="6"/>
      <c r="E202" s="6"/>
      <c r="F202" s="6"/>
      <c r="G202" s="6"/>
      <c r="H202" s="6"/>
      <c r="I202" s="27">
        <f>_xlfn.XLOOKUP(Saudi_Regions_Cities[[#This Row],[المنطقة الإدارية]],Saudi_Regions[المنطقة الإدارية],Saudi_Regions[رمز المنطقة الإدارية],"")</f>
        <v>3</v>
      </c>
      <c r="J202" s="27" t="s">
        <v>227</v>
      </c>
      <c r="K202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3047</v>
      </c>
      <c r="L202" s="27" t="s">
        <v>425</v>
      </c>
      <c r="M202" s="27">
        <v>26.582599999999999</v>
      </c>
      <c r="N202" s="27">
        <v>49.9679</v>
      </c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4"/>
    </row>
    <row r="203" spans="2:29" x14ac:dyDescent="0.45">
      <c r="B203" s="4"/>
      <c r="C203" s="6"/>
      <c r="D203" s="6"/>
      <c r="E203" s="6"/>
      <c r="F203" s="6"/>
      <c r="G203" s="6"/>
      <c r="H203" s="6"/>
      <c r="I203" s="27">
        <f>_xlfn.XLOOKUP(Saudi_Regions_Cities[[#This Row],[المنطقة الإدارية]],Saudi_Regions[المنطقة الإدارية],Saudi_Regions[رمز المنطقة الإدارية],"")</f>
        <v>2</v>
      </c>
      <c r="J203" s="27" t="s">
        <v>226</v>
      </c>
      <c r="K203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2023</v>
      </c>
      <c r="L203" s="27" t="s">
        <v>426</v>
      </c>
      <c r="M203" s="27"/>
      <c r="N203" s="27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4"/>
    </row>
    <row r="204" spans="2:29" x14ac:dyDescent="0.45">
      <c r="B204" s="4"/>
      <c r="C204" s="6"/>
      <c r="D204" s="6"/>
      <c r="E204" s="6"/>
      <c r="F204" s="6"/>
      <c r="G204" s="6"/>
      <c r="H204" s="6"/>
      <c r="I204" s="27">
        <f>_xlfn.XLOOKUP(Saudi_Regions_Cities[[#This Row],[المنطقة الإدارية]],Saudi_Regions[المنطقة الإدارية],Saudi_Regions[رمز المنطقة الإدارية],"")</f>
        <v>11</v>
      </c>
      <c r="J204" s="27" t="s">
        <v>235</v>
      </c>
      <c r="K204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11006</v>
      </c>
      <c r="L204" s="27" t="s">
        <v>427</v>
      </c>
      <c r="M204" s="27"/>
      <c r="N204" s="27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4"/>
    </row>
    <row r="205" spans="2:29" x14ac:dyDescent="0.45">
      <c r="B205" s="4"/>
      <c r="C205" s="6"/>
      <c r="D205" s="6"/>
      <c r="E205" s="6"/>
      <c r="F205" s="6"/>
      <c r="G205" s="6"/>
      <c r="H205" s="6"/>
      <c r="I205" s="27">
        <f>_xlfn.XLOOKUP(Saudi_Regions_Cities[[#This Row],[المنطقة الإدارية]],Saudi_Regions[المنطقة الإدارية],Saudi_Regions[رمز المنطقة الإدارية],"")</f>
        <v>1</v>
      </c>
      <c r="J205" s="27" t="s">
        <v>225</v>
      </c>
      <c r="K205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1038</v>
      </c>
      <c r="L205" s="27" t="s">
        <v>428</v>
      </c>
      <c r="M205" s="27"/>
      <c r="N205" s="27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4"/>
    </row>
    <row r="206" spans="2:29" x14ac:dyDescent="0.45">
      <c r="B206" s="4"/>
      <c r="C206" s="6"/>
      <c r="D206" s="6"/>
      <c r="E206" s="6"/>
      <c r="F206" s="6"/>
      <c r="G206" s="6"/>
      <c r="H206" s="6"/>
      <c r="I206" s="27">
        <f>_xlfn.XLOOKUP(Saudi_Regions_Cities[[#This Row],[المنطقة الإدارية]],Saudi_Regions[المنطقة الإدارية],Saudi_Regions[رمز المنطقة الإدارية],"")</f>
        <v>6</v>
      </c>
      <c r="J206" s="27" t="s">
        <v>230</v>
      </c>
      <c r="K206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6021</v>
      </c>
      <c r="L206" s="27" t="s">
        <v>429</v>
      </c>
      <c r="M206" s="27"/>
      <c r="N206" s="27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4"/>
    </row>
    <row r="207" spans="2:29" x14ac:dyDescent="0.45">
      <c r="B207" s="4"/>
      <c r="C207" s="6"/>
      <c r="D207" s="6"/>
      <c r="E207" s="6"/>
      <c r="F207" s="6"/>
      <c r="G207" s="6"/>
      <c r="H207" s="6"/>
      <c r="I207" s="27">
        <f>_xlfn.XLOOKUP(Saudi_Regions_Cities[[#This Row],[المنطقة الإدارية]],Saudi_Regions[المنطقة الإدارية],Saudi_Regions[رمز المنطقة الإدارية],"")</f>
        <v>6</v>
      </c>
      <c r="J207" s="27" t="s">
        <v>230</v>
      </c>
      <c r="K207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6022</v>
      </c>
      <c r="L207" s="27" t="s">
        <v>430</v>
      </c>
      <c r="M207" s="27"/>
      <c r="N207" s="27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4"/>
    </row>
    <row r="208" spans="2:29" x14ac:dyDescent="0.45">
      <c r="B208" s="4"/>
      <c r="C208" s="6"/>
      <c r="D208" s="6"/>
      <c r="E208" s="6"/>
      <c r="F208" s="6"/>
      <c r="G208" s="6"/>
      <c r="H208" s="6"/>
      <c r="I208" s="27">
        <f>_xlfn.XLOOKUP(Saudi_Regions_Cities[[#This Row],[المنطقة الإدارية]],Saudi_Regions[المنطقة الإدارية],Saudi_Regions[رمز المنطقة الإدارية],"")</f>
        <v>10</v>
      </c>
      <c r="J208" s="27" t="s">
        <v>234</v>
      </c>
      <c r="K208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10006</v>
      </c>
      <c r="L208" s="27" t="s">
        <v>431</v>
      </c>
      <c r="M208" s="27"/>
      <c r="N208" s="27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4"/>
    </row>
    <row r="209" spans="2:29" x14ac:dyDescent="0.45">
      <c r="B209" s="4"/>
      <c r="C209" s="6"/>
      <c r="D209" s="6"/>
      <c r="E209" s="6"/>
      <c r="F209" s="6"/>
      <c r="G209" s="6"/>
      <c r="H209" s="6"/>
      <c r="I209" s="27">
        <f>_xlfn.XLOOKUP(Saudi_Regions_Cities[[#This Row],[المنطقة الإدارية]],Saudi_Regions[المنطقة الإدارية],Saudi_Regions[رمز المنطقة الإدارية],"")</f>
        <v>6</v>
      </c>
      <c r="J209" s="27" t="s">
        <v>230</v>
      </c>
      <c r="K209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6023</v>
      </c>
      <c r="L209" s="27" t="s">
        <v>432</v>
      </c>
      <c r="M209" s="27"/>
      <c r="N209" s="27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4"/>
    </row>
    <row r="210" spans="2:29" x14ac:dyDescent="0.45">
      <c r="B210" s="4"/>
      <c r="C210" s="6"/>
      <c r="D210" s="6"/>
      <c r="E210" s="6"/>
      <c r="F210" s="6"/>
      <c r="G210" s="6"/>
      <c r="H210" s="6"/>
      <c r="I210" s="27">
        <f>_xlfn.XLOOKUP(Saudi_Regions_Cities[[#This Row],[المنطقة الإدارية]],Saudi_Regions[المنطقة الإدارية],Saudi_Regions[رمز المنطقة الإدارية],"")</f>
        <v>7</v>
      </c>
      <c r="J210" s="27" t="s">
        <v>231</v>
      </c>
      <c r="K210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7012</v>
      </c>
      <c r="L210" s="27" t="s">
        <v>433</v>
      </c>
      <c r="M210" s="27"/>
      <c r="N210" s="27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4"/>
    </row>
    <row r="211" spans="2:29" x14ac:dyDescent="0.45">
      <c r="B211" s="4"/>
      <c r="C211" s="6"/>
      <c r="D211" s="6"/>
      <c r="E211" s="6"/>
      <c r="F211" s="6"/>
      <c r="G211" s="6"/>
      <c r="H211" s="6"/>
      <c r="I211" s="27">
        <f>_xlfn.XLOOKUP(Saudi_Regions_Cities[[#This Row],[المنطقة الإدارية]],Saudi_Regions[المنطقة الإدارية],Saudi_Regions[رمز المنطقة الإدارية],"")</f>
        <v>1</v>
      </c>
      <c r="J211" s="27" t="s">
        <v>225</v>
      </c>
      <c r="K211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1039</v>
      </c>
      <c r="L211" s="27" t="s">
        <v>434</v>
      </c>
      <c r="M211" s="27"/>
      <c r="N211" s="27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4"/>
    </row>
    <row r="212" spans="2:29" x14ac:dyDescent="0.45">
      <c r="B212" s="4"/>
      <c r="C212" s="6"/>
      <c r="D212" s="6"/>
      <c r="E212" s="6"/>
      <c r="F212" s="6"/>
      <c r="G212" s="6"/>
      <c r="H212" s="6"/>
      <c r="I212" s="27">
        <f>_xlfn.XLOOKUP(Saudi_Regions_Cities[[#This Row],[المنطقة الإدارية]],Saudi_Regions[المنطقة الإدارية],Saudi_Regions[رمز المنطقة الإدارية],"")</f>
        <v>5</v>
      </c>
      <c r="J212" s="27" t="s">
        <v>229</v>
      </c>
      <c r="K212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5015</v>
      </c>
      <c r="L212" s="27" t="s">
        <v>435</v>
      </c>
      <c r="M212" s="27"/>
      <c r="N212" s="27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4"/>
    </row>
    <row r="213" spans="2:29" x14ac:dyDescent="0.45">
      <c r="B213" s="4"/>
      <c r="C213" s="6"/>
      <c r="D213" s="6"/>
      <c r="E213" s="6"/>
      <c r="F213" s="6"/>
      <c r="G213" s="6"/>
      <c r="H213" s="6"/>
      <c r="I213" s="27">
        <f>_xlfn.XLOOKUP(Saudi_Regions_Cities[[#This Row],[المنطقة الإدارية]],Saudi_Regions[المنطقة الإدارية],Saudi_Regions[رمز المنطقة الإدارية],"")</f>
        <v>2</v>
      </c>
      <c r="J213" s="27" t="s">
        <v>226</v>
      </c>
      <c r="K213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2024</v>
      </c>
      <c r="L213" s="27" t="s">
        <v>436</v>
      </c>
      <c r="M213" s="27"/>
      <c r="N213" s="27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4"/>
    </row>
    <row r="214" spans="2:29" x14ac:dyDescent="0.45">
      <c r="B214" s="4"/>
      <c r="C214" s="6"/>
      <c r="D214" s="6"/>
      <c r="E214" s="6"/>
      <c r="F214" s="6"/>
      <c r="G214" s="6"/>
      <c r="H214" s="6"/>
      <c r="I214" s="27">
        <f>_xlfn.XLOOKUP(Saudi_Regions_Cities[[#This Row],[المنطقة الإدارية]],Saudi_Regions[المنطقة الإدارية],Saudi_Regions[رمز المنطقة الإدارية],"")</f>
        <v>3</v>
      </c>
      <c r="J214" s="27" t="s">
        <v>227</v>
      </c>
      <c r="K214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3048</v>
      </c>
      <c r="L214" s="27" t="s">
        <v>437</v>
      </c>
      <c r="M214" s="27">
        <v>25.3703</v>
      </c>
      <c r="N214" s="27">
        <v>49.711599999999997</v>
      </c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4"/>
    </row>
    <row r="215" spans="2:29" x14ac:dyDescent="0.45">
      <c r="B215" s="4"/>
      <c r="C215" s="6"/>
      <c r="D215" s="6"/>
      <c r="E215" s="6"/>
      <c r="F215" s="6"/>
      <c r="G215" s="6"/>
      <c r="H215" s="6"/>
      <c r="I215" s="27">
        <f>_xlfn.XLOOKUP(Saudi_Regions_Cities[[#This Row],[المنطقة الإدارية]],Saudi_Regions[المنطقة الإدارية],Saudi_Regions[رمز المنطقة الإدارية],"")</f>
        <v>3</v>
      </c>
      <c r="J215" s="27" t="s">
        <v>227</v>
      </c>
      <c r="K215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3049</v>
      </c>
      <c r="L215" s="27" t="s">
        <v>438</v>
      </c>
      <c r="M215" s="27">
        <v>25.365100000000002</v>
      </c>
      <c r="N215" s="27">
        <v>49.648800000000001</v>
      </c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4"/>
    </row>
    <row r="216" spans="2:29" x14ac:dyDescent="0.45">
      <c r="B216" s="4"/>
      <c r="C216" s="6"/>
      <c r="D216" s="6"/>
      <c r="E216" s="6"/>
      <c r="F216" s="6"/>
      <c r="G216" s="6"/>
      <c r="H216" s="6"/>
      <c r="I216" s="27">
        <f>_xlfn.XLOOKUP(Saudi_Regions_Cities[[#This Row],[المنطقة الإدارية]],Saudi_Regions[المنطقة الإدارية],Saudi_Regions[رمز المنطقة الإدارية],"")</f>
        <v>10</v>
      </c>
      <c r="J216" s="27" t="s">
        <v>234</v>
      </c>
      <c r="K216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10007</v>
      </c>
      <c r="L216" s="27" t="s">
        <v>439</v>
      </c>
      <c r="M216" s="27"/>
      <c r="N216" s="27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4"/>
    </row>
    <row r="217" spans="2:29" x14ac:dyDescent="0.45">
      <c r="B217" s="4"/>
      <c r="C217" s="6"/>
      <c r="D217" s="6"/>
      <c r="E217" s="6"/>
      <c r="F217" s="6"/>
      <c r="G217" s="6"/>
      <c r="H217" s="6"/>
      <c r="I217" s="27">
        <f>_xlfn.XLOOKUP(Saudi_Regions_Cities[[#This Row],[المنطقة الإدارية]],Saudi_Regions[المنطقة الإدارية],Saudi_Regions[رمز المنطقة الإدارية],"")</f>
        <v>3</v>
      </c>
      <c r="J217" s="27" t="s">
        <v>227</v>
      </c>
      <c r="K217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3050</v>
      </c>
      <c r="L217" s="27" t="s">
        <v>440</v>
      </c>
      <c r="M217" s="27">
        <v>26.574400000000001</v>
      </c>
      <c r="N217" s="27">
        <v>49.959400000000002</v>
      </c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4"/>
    </row>
    <row r="218" spans="2:29" x14ac:dyDescent="0.45">
      <c r="B218" s="4"/>
      <c r="C218" s="6"/>
      <c r="D218" s="6"/>
      <c r="E218" s="6"/>
      <c r="F218" s="6"/>
      <c r="G218" s="6"/>
      <c r="H218" s="6"/>
      <c r="I218" s="27">
        <f>_xlfn.XLOOKUP(Saudi_Regions_Cities[[#This Row],[المنطقة الإدارية]],Saudi_Regions[المنطقة الإدارية],Saudi_Regions[رمز المنطقة الإدارية],"")</f>
        <v>1</v>
      </c>
      <c r="J218" s="27" t="s">
        <v>225</v>
      </c>
      <c r="K218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1040</v>
      </c>
      <c r="L218" s="27" t="s">
        <v>441</v>
      </c>
      <c r="M218" s="27"/>
      <c r="N218" s="27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4"/>
    </row>
    <row r="219" spans="2:29" x14ac:dyDescent="0.45">
      <c r="B219" s="4"/>
      <c r="C219" s="6"/>
      <c r="D219" s="6"/>
      <c r="E219" s="6"/>
      <c r="F219" s="6"/>
      <c r="G219" s="6"/>
      <c r="H219" s="6"/>
      <c r="I219" s="27">
        <f>_xlfn.XLOOKUP(Saudi_Regions_Cities[[#This Row],[المنطقة الإدارية]],Saudi_Regions[المنطقة الإدارية],Saudi_Regions[رمز المنطقة الإدارية],"")</f>
        <v>7</v>
      </c>
      <c r="J219" s="27" t="s">
        <v>231</v>
      </c>
      <c r="K219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7013</v>
      </c>
      <c r="L219" s="27" t="s">
        <v>442</v>
      </c>
      <c r="M219" s="27"/>
      <c r="N219" s="27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4"/>
    </row>
    <row r="220" spans="2:29" x14ac:dyDescent="0.45">
      <c r="B220" s="4"/>
      <c r="C220" s="6"/>
      <c r="D220" s="6"/>
      <c r="E220" s="6"/>
      <c r="F220" s="6"/>
      <c r="G220" s="6"/>
      <c r="H220" s="6"/>
      <c r="I220" s="27">
        <f>_xlfn.XLOOKUP(Saudi_Regions_Cities[[#This Row],[المنطقة الإدارية]],Saudi_Regions[المنطقة الإدارية],Saudi_Regions[رمز المنطقة الإدارية],"")</f>
        <v>6</v>
      </c>
      <c r="J220" s="27" t="s">
        <v>230</v>
      </c>
      <c r="K220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6024</v>
      </c>
      <c r="L220" s="27" t="s">
        <v>443</v>
      </c>
      <c r="M220" s="27"/>
      <c r="N220" s="27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4"/>
    </row>
    <row r="221" spans="2:29" x14ac:dyDescent="0.45">
      <c r="B221" s="4"/>
      <c r="C221" s="6"/>
      <c r="D221" s="6"/>
      <c r="E221" s="6"/>
      <c r="F221" s="6"/>
      <c r="G221" s="6"/>
      <c r="H221" s="6"/>
      <c r="I221" s="27">
        <f>_xlfn.XLOOKUP(Saudi_Regions_Cities[[#This Row],[المنطقة الإدارية]],Saudi_Regions[المنطقة الإدارية],Saudi_Regions[رمز المنطقة الإدارية],"")</f>
        <v>6</v>
      </c>
      <c r="J221" s="27" t="s">
        <v>230</v>
      </c>
      <c r="K221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6025</v>
      </c>
      <c r="L221" s="27" t="s">
        <v>444</v>
      </c>
      <c r="M221" s="27"/>
      <c r="N221" s="27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4"/>
    </row>
    <row r="222" spans="2:29" x14ac:dyDescent="0.45">
      <c r="B222" s="4"/>
      <c r="C222" s="6"/>
      <c r="D222" s="6"/>
      <c r="E222" s="6"/>
      <c r="F222" s="6"/>
      <c r="G222" s="6"/>
      <c r="H222" s="6"/>
      <c r="I222" s="27">
        <f>_xlfn.XLOOKUP(Saudi_Regions_Cities[[#This Row],[المنطقة الإدارية]],Saudi_Regions[المنطقة الإدارية],Saudi_Regions[رمز المنطقة الإدارية],"")</f>
        <v>7</v>
      </c>
      <c r="J222" s="27" t="s">
        <v>231</v>
      </c>
      <c r="K222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7014</v>
      </c>
      <c r="L222" s="27" t="s">
        <v>445</v>
      </c>
      <c r="M222" s="27"/>
      <c r="N222" s="27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4"/>
    </row>
    <row r="223" spans="2:29" x14ac:dyDescent="0.45">
      <c r="B223" s="4"/>
      <c r="C223" s="6"/>
      <c r="D223" s="6"/>
      <c r="E223" s="6"/>
      <c r="F223" s="6"/>
      <c r="G223" s="6"/>
      <c r="H223" s="6"/>
      <c r="I223" s="27">
        <f>_xlfn.XLOOKUP(Saudi_Regions_Cities[[#This Row],[المنطقة الإدارية]],Saudi_Regions[المنطقة الإدارية],Saudi_Regions[رمز المنطقة الإدارية],"")</f>
        <v>3</v>
      </c>
      <c r="J223" s="27" t="s">
        <v>227</v>
      </c>
      <c r="K223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3051</v>
      </c>
      <c r="L223" s="27" t="s">
        <v>446</v>
      </c>
      <c r="M223" s="27">
        <v>26.635000000000002</v>
      </c>
      <c r="N223" s="27">
        <v>50.007199999999997</v>
      </c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4"/>
    </row>
    <row r="224" spans="2:29" x14ac:dyDescent="0.45">
      <c r="B224" s="4"/>
      <c r="C224" s="6"/>
      <c r="D224" s="6"/>
      <c r="E224" s="6"/>
      <c r="F224" s="6"/>
      <c r="G224" s="6"/>
      <c r="H224" s="6"/>
      <c r="I224" s="27">
        <f>_xlfn.XLOOKUP(Saudi_Regions_Cities[[#This Row],[المنطقة الإدارية]],Saudi_Regions[المنطقة الإدارية],Saudi_Regions[رمز المنطقة الإدارية],"")</f>
        <v>13</v>
      </c>
      <c r="J224" s="27" t="s">
        <v>237</v>
      </c>
      <c r="K224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13007</v>
      </c>
      <c r="L224" s="27" t="s">
        <v>447</v>
      </c>
      <c r="M224" s="27">
        <v>20.0108</v>
      </c>
      <c r="N224" s="27">
        <v>41.442</v>
      </c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4"/>
    </row>
    <row r="225" spans="2:29" x14ac:dyDescent="0.45">
      <c r="B225" s="4"/>
      <c r="C225" s="6"/>
      <c r="D225" s="6"/>
      <c r="E225" s="6"/>
      <c r="F225" s="6"/>
      <c r="G225" s="6"/>
      <c r="H225" s="6"/>
      <c r="I225" s="27">
        <f>_xlfn.XLOOKUP(Saudi_Regions_Cities[[#This Row],[المنطقة الإدارية]],Saudi_Regions[المنطقة الإدارية],Saudi_Regions[رمز المنطقة الإدارية],"")</f>
        <v>6</v>
      </c>
      <c r="J225" s="27" t="s">
        <v>230</v>
      </c>
      <c r="K225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6026</v>
      </c>
      <c r="L225" s="27" t="s">
        <v>448</v>
      </c>
      <c r="M225" s="27"/>
      <c r="N225" s="27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4"/>
    </row>
    <row r="226" spans="2:29" x14ac:dyDescent="0.45">
      <c r="B226" s="4"/>
      <c r="C226" s="6"/>
      <c r="D226" s="6"/>
      <c r="E226" s="6"/>
      <c r="F226" s="6"/>
      <c r="G226" s="6"/>
      <c r="H226" s="6"/>
      <c r="I226" s="27">
        <f>_xlfn.XLOOKUP(Saudi_Regions_Cities[[#This Row],[المنطقة الإدارية]],Saudi_Regions[المنطقة الإدارية],Saudi_Regions[رمز المنطقة الإدارية],"")</f>
        <v>2</v>
      </c>
      <c r="J226" s="27" t="s">
        <v>226</v>
      </c>
      <c r="K226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2025</v>
      </c>
      <c r="L226" s="27" t="s">
        <v>449</v>
      </c>
      <c r="M226" s="27"/>
      <c r="N226" s="27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4"/>
    </row>
    <row r="227" spans="2:29" x14ac:dyDescent="0.45">
      <c r="B227" s="4"/>
      <c r="C227" s="6"/>
      <c r="D227" s="6"/>
      <c r="E227" s="6"/>
      <c r="F227" s="6"/>
      <c r="G227" s="6"/>
      <c r="H227" s="6"/>
      <c r="I227" s="27">
        <f>_xlfn.XLOOKUP(Saudi_Regions_Cities[[#This Row],[المنطقة الإدارية]],Saudi_Regions[المنطقة الإدارية],Saudi_Regions[رمز المنطقة الإدارية],"")</f>
        <v>6</v>
      </c>
      <c r="J227" s="27" t="s">
        <v>230</v>
      </c>
      <c r="K227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6027</v>
      </c>
      <c r="L227" s="27" t="s">
        <v>450</v>
      </c>
      <c r="M227" s="27"/>
      <c r="N227" s="27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4"/>
    </row>
    <row r="228" spans="2:29" x14ac:dyDescent="0.45">
      <c r="B228" s="4"/>
      <c r="C228" s="6"/>
      <c r="D228" s="6"/>
      <c r="E228" s="6"/>
      <c r="F228" s="6"/>
      <c r="G228" s="6"/>
      <c r="H228" s="6"/>
      <c r="I228" s="27">
        <f>_xlfn.XLOOKUP(Saudi_Regions_Cities[[#This Row],[المنطقة الإدارية]],Saudi_Regions[المنطقة الإدارية],Saudi_Regions[رمز المنطقة الإدارية],"")</f>
        <v>6</v>
      </c>
      <c r="J228" s="27" t="s">
        <v>230</v>
      </c>
      <c r="K228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6028</v>
      </c>
      <c r="L228" s="27" t="s">
        <v>451</v>
      </c>
      <c r="M228" s="27"/>
      <c r="N228" s="27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4"/>
    </row>
    <row r="229" spans="2:29" x14ac:dyDescent="0.45">
      <c r="B229" s="4"/>
      <c r="C229" s="6"/>
      <c r="D229" s="6"/>
      <c r="E229" s="6"/>
      <c r="F229" s="6"/>
      <c r="G229" s="6"/>
      <c r="H229" s="6"/>
      <c r="I229" s="27">
        <f>_xlfn.XLOOKUP(Saudi_Regions_Cities[[#This Row],[المنطقة الإدارية]],Saudi_Regions[المنطقة الإدارية],Saudi_Regions[رمز المنطقة الإدارية],"")</f>
        <v>2</v>
      </c>
      <c r="J229" s="27" t="s">
        <v>226</v>
      </c>
      <c r="K229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2026</v>
      </c>
      <c r="L229" s="27" t="s">
        <v>452</v>
      </c>
      <c r="M229" s="27"/>
      <c r="N229" s="27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4"/>
    </row>
    <row r="230" spans="2:29" x14ac:dyDescent="0.45">
      <c r="B230" s="4"/>
      <c r="C230" s="6"/>
      <c r="D230" s="6"/>
      <c r="E230" s="6"/>
      <c r="F230" s="6"/>
      <c r="G230" s="6"/>
      <c r="H230" s="6"/>
      <c r="I230" s="27">
        <f>_xlfn.XLOOKUP(Saudi_Regions_Cities[[#This Row],[المنطقة الإدارية]],Saudi_Regions[المنطقة الإدارية],Saudi_Regions[رمز المنطقة الإدارية],"")</f>
        <v>5</v>
      </c>
      <c r="J230" s="27" t="s">
        <v>229</v>
      </c>
      <c r="K230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5016</v>
      </c>
      <c r="L230" s="27" t="s">
        <v>453</v>
      </c>
      <c r="M230" s="27"/>
      <c r="N230" s="27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4"/>
    </row>
    <row r="231" spans="2:29" x14ac:dyDescent="0.45">
      <c r="B231" s="4"/>
      <c r="C231" s="6"/>
      <c r="D231" s="6"/>
      <c r="E231" s="6"/>
      <c r="F231" s="6"/>
      <c r="G231" s="6"/>
      <c r="H231" s="6"/>
      <c r="I231" s="27">
        <f>_xlfn.XLOOKUP(Saudi_Regions_Cities[[#This Row],[المنطقة الإدارية]],Saudi_Regions[المنطقة الإدارية],Saudi_Regions[رمز المنطقة الإدارية],"")</f>
        <v>3</v>
      </c>
      <c r="J231" s="27" t="s">
        <v>227</v>
      </c>
      <c r="K231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3052</v>
      </c>
      <c r="L231" s="27" t="s">
        <v>454</v>
      </c>
      <c r="M231" s="27">
        <v>24.145600000000002</v>
      </c>
      <c r="N231" s="27">
        <v>49.065300000000001</v>
      </c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4"/>
    </row>
    <row r="232" spans="2:29" x14ac:dyDescent="0.45">
      <c r="B232" s="4"/>
      <c r="C232" s="6"/>
      <c r="D232" s="6"/>
      <c r="E232" s="6"/>
      <c r="F232" s="6"/>
      <c r="G232" s="6"/>
      <c r="H232" s="6"/>
      <c r="I232" s="27">
        <f>_xlfn.XLOOKUP(Saudi_Regions_Cities[[#This Row],[المنطقة الإدارية]],Saudi_Regions[المنطقة الإدارية],Saudi_Regions[رمز المنطقة الإدارية],"")</f>
        <v>6</v>
      </c>
      <c r="J232" s="27" t="s">
        <v>230</v>
      </c>
      <c r="K232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6029</v>
      </c>
      <c r="L232" s="27" t="s">
        <v>455</v>
      </c>
      <c r="M232" s="27"/>
      <c r="N232" s="27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4"/>
    </row>
    <row r="233" spans="2:29" x14ac:dyDescent="0.45">
      <c r="B233" s="4"/>
      <c r="C233" s="6"/>
      <c r="D233" s="6"/>
      <c r="E233" s="6"/>
      <c r="F233" s="6"/>
      <c r="G233" s="6"/>
      <c r="H233" s="6"/>
      <c r="I233" s="27">
        <f>_xlfn.XLOOKUP(Saudi_Regions_Cities[[#This Row],[المنطقة الإدارية]],Saudi_Regions[المنطقة الإدارية],Saudi_Regions[رمز المنطقة الإدارية],"")</f>
        <v>6</v>
      </c>
      <c r="J233" s="27" t="s">
        <v>230</v>
      </c>
      <c r="K233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6030</v>
      </c>
      <c r="L233" s="27" t="s">
        <v>456</v>
      </c>
      <c r="M233" s="27"/>
      <c r="N233" s="27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4"/>
    </row>
    <row r="234" spans="2:29" x14ac:dyDescent="0.45">
      <c r="B234" s="4"/>
      <c r="C234" s="6"/>
      <c r="D234" s="6"/>
      <c r="E234" s="6"/>
      <c r="F234" s="6"/>
      <c r="G234" s="6"/>
      <c r="H234" s="6"/>
      <c r="I234" s="27">
        <f>_xlfn.XLOOKUP(Saudi_Regions_Cities[[#This Row],[المنطقة الإدارية]],Saudi_Regions[المنطقة الإدارية],Saudi_Regions[رمز المنطقة الإدارية],"")</f>
        <v>6</v>
      </c>
      <c r="J234" s="27" t="s">
        <v>230</v>
      </c>
      <c r="K234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6031</v>
      </c>
      <c r="L234" s="27" t="s">
        <v>457</v>
      </c>
      <c r="M234" s="27"/>
      <c r="N234" s="27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4"/>
    </row>
    <row r="235" spans="2:29" x14ac:dyDescent="0.45">
      <c r="B235" s="4"/>
      <c r="C235" s="6"/>
      <c r="D235" s="6"/>
      <c r="E235" s="6"/>
      <c r="F235" s="6"/>
      <c r="G235" s="6"/>
      <c r="H235" s="6"/>
      <c r="I235" s="27">
        <f>_xlfn.XLOOKUP(Saudi_Regions_Cities[[#This Row],[المنطقة الإدارية]],Saudi_Regions[المنطقة الإدارية],Saudi_Regions[رمز المنطقة الإدارية],"")</f>
        <v>7</v>
      </c>
      <c r="J235" s="27" t="s">
        <v>231</v>
      </c>
      <c r="K235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7015</v>
      </c>
      <c r="L235" s="27" t="s">
        <v>458</v>
      </c>
      <c r="M235" s="27"/>
      <c r="N235" s="27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4"/>
    </row>
    <row r="236" spans="2:29" x14ac:dyDescent="0.45">
      <c r="B236" s="4"/>
      <c r="C236" s="6"/>
      <c r="D236" s="6"/>
      <c r="E236" s="6"/>
      <c r="F236" s="6"/>
      <c r="G236" s="6"/>
      <c r="H236" s="6"/>
      <c r="I236" s="27">
        <f>_xlfn.XLOOKUP(Saudi_Regions_Cities[[#This Row],[المنطقة الإدارية]],Saudi_Regions[المنطقة الإدارية],Saudi_Regions[رمز المنطقة الإدارية],"")</f>
        <v>2</v>
      </c>
      <c r="J236" s="27" t="s">
        <v>226</v>
      </c>
      <c r="K236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2027</v>
      </c>
      <c r="L236" s="27" t="s">
        <v>459</v>
      </c>
      <c r="M236" s="27"/>
      <c r="N236" s="27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4"/>
    </row>
    <row r="237" spans="2:29" x14ac:dyDescent="0.45">
      <c r="B237" s="4"/>
      <c r="C237" s="6"/>
      <c r="D237" s="6"/>
      <c r="E237" s="6"/>
      <c r="F237" s="6"/>
      <c r="G237" s="6"/>
      <c r="H237" s="6"/>
      <c r="I237" s="27">
        <f>_xlfn.XLOOKUP(Saudi_Regions_Cities[[#This Row],[المنطقة الإدارية]],Saudi_Regions[المنطقة الإدارية],Saudi_Regions[رمز المنطقة الإدارية],"")</f>
        <v>7</v>
      </c>
      <c r="J237" s="27" t="s">
        <v>231</v>
      </c>
      <c r="K237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7016</v>
      </c>
      <c r="L237" s="27" t="s">
        <v>460</v>
      </c>
      <c r="M237" s="27"/>
      <c r="N237" s="27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4"/>
    </row>
    <row r="238" spans="2:29" x14ac:dyDescent="0.45">
      <c r="B238" s="4"/>
      <c r="C238" s="6"/>
      <c r="D238" s="6"/>
      <c r="E238" s="6"/>
      <c r="F238" s="6"/>
      <c r="G238" s="6"/>
      <c r="H238" s="6"/>
      <c r="I238" s="27">
        <f>_xlfn.XLOOKUP(Saudi_Regions_Cities[[#This Row],[المنطقة الإدارية]],Saudi_Regions[المنطقة الإدارية],Saudi_Regions[رمز المنطقة الإدارية],"")</f>
        <v>2</v>
      </c>
      <c r="J238" s="27" t="s">
        <v>226</v>
      </c>
      <c r="K238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2028</v>
      </c>
      <c r="L238" s="27" t="s">
        <v>461</v>
      </c>
      <c r="M238" s="27"/>
      <c r="N238" s="27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4"/>
    </row>
    <row r="239" spans="2:29" x14ac:dyDescent="0.45">
      <c r="B239" s="4"/>
      <c r="C239" s="6"/>
      <c r="D239" s="6"/>
      <c r="E239" s="6"/>
      <c r="F239" s="6"/>
      <c r="G239" s="6"/>
      <c r="H239" s="6"/>
      <c r="I239" s="27">
        <f>_xlfn.XLOOKUP(Saudi_Regions_Cities[[#This Row],[المنطقة الإدارية]],Saudi_Regions[المنطقة الإدارية],Saudi_Regions[رمز المنطقة الإدارية],"")</f>
        <v>9</v>
      </c>
      <c r="J239" s="27" t="s">
        <v>233</v>
      </c>
      <c r="K239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9007</v>
      </c>
      <c r="L239" s="27" t="s">
        <v>462</v>
      </c>
      <c r="M239" s="27"/>
      <c r="N239" s="27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4"/>
    </row>
    <row r="240" spans="2:29" x14ac:dyDescent="0.45">
      <c r="B240" s="4"/>
      <c r="C240" s="6"/>
      <c r="D240" s="6"/>
      <c r="E240" s="6"/>
      <c r="F240" s="6"/>
      <c r="G240" s="6"/>
      <c r="H240" s="6"/>
      <c r="I240" s="27">
        <f>_xlfn.XLOOKUP(Saudi_Regions_Cities[[#This Row],[المنطقة الإدارية]],Saudi_Regions[المنطقة الإدارية],Saudi_Regions[رمز المنطقة الإدارية],"")</f>
        <v>12</v>
      </c>
      <c r="J240" s="27" t="s">
        <v>236</v>
      </c>
      <c r="K240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12005</v>
      </c>
      <c r="L240" s="27" t="s">
        <v>463</v>
      </c>
      <c r="M240" s="27"/>
      <c r="N240" s="27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4"/>
    </row>
    <row r="241" spans="2:29" x14ac:dyDescent="0.45">
      <c r="B241" s="4"/>
      <c r="C241" s="6"/>
      <c r="D241" s="6"/>
      <c r="E241" s="6"/>
      <c r="F241" s="6"/>
      <c r="G241" s="6"/>
      <c r="H241" s="6"/>
      <c r="I241" s="27">
        <f>_xlfn.XLOOKUP(Saudi_Regions_Cities[[#This Row],[المنطقة الإدارية]],Saudi_Regions[المنطقة الإدارية],Saudi_Regions[رمز المنطقة الإدارية],"")</f>
        <v>7</v>
      </c>
      <c r="J241" s="27" t="s">
        <v>231</v>
      </c>
      <c r="K241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7017</v>
      </c>
      <c r="L241" s="27" t="s">
        <v>464</v>
      </c>
      <c r="M241" s="27"/>
      <c r="N241" s="27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4"/>
    </row>
    <row r="242" spans="2:29" x14ac:dyDescent="0.45">
      <c r="B242" s="4"/>
      <c r="C242" s="6"/>
      <c r="D242" s="6"/>
      <c r="E242" s="6"/>
      <c r="F242" s="6"/>
      <c r="G242" s="6"/>
      <c r="H242" s="6"/>
      <c r="I242" s="27">
        <f>_xlfn.XLOOKUP(Saudi_Regions_Cities[[#This Row],[المنطقة الإدارية]],Saudi_Regions[المنطقة الإدارية],Saudi_Regions[رمز المنطقة الإدارية],"")</f>
        <v>2</v>
      </c>
      <c r="J242" s="27" t="s">
        <v>226</v>
      </c>
      <c r="K242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2029</v>
      </c>
      <c r="L242" s="27" t="s">
        <v>465</v>
      </c>
      <c r="M242" s="27"/>
      <c r="N242" s="27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4"/>
    </row>
    <row r="243" spans="2:29" x14ac:dyDescent="0.45">
      <c r="B243" s="4"/>
      <c r="C243" s="6"/>
      <c r="D243" s="6"/>
      <c r="E243" s="6"/>
      <c r="F243" s="6"/>
      <c r="G243" s="6"/>
      <c r="H243" s="6"/>
      <c r="I243" s="27">
        <f>_xlfn.XLOOKUP(Saudi_Regions_Cities[[#This Row],[المنطقة الإدارية]],Saudi_Regions[المنطقة الإدارية],Saudi_Regions[رمز المنطقة الإدارية],"")</f>
        <v>10</v>
      </c>
      <c r="J243" s="27" t="s">
        <v>234</v>
      </c>
      <c r="K243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10008</v>
      </c>
      <c r="L243" s="27" t="s">
        <v>466</v>
      </c>
      <c r="M243" s="27"/>
      <c r="N243" s="27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4"/>
    </row>
    <row r="244" spans="2:29" x14ac:dyDescent="0.45">
      <c r="B244" s="4"/>
      <c r="C244" s="6"/>
      <c r="D244" s="6"/>
      <c r="E244" s="6"/>
      <c r="F244" s="6"/>
      <c r="G244" s="6"/>
      <c r="H244" s="6"/>
      <c r="I244" s="27">
        <f>_xlfn.XLOOKUP(Saudi_Regions_Cities[[#This Row],[المنطقة الإدارية]],Saudi_Regions[المنطقة الإدارية],Saudi_Regions[رمز المنطقة الإدارية],"")</f>
        <v>5</v>
      </c>
      <c r="J244" s="27" t="s">
        <v>229</v>
      </c>
      <c r="K244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5017</v>
      </c>
      <c r="L244" s="27" t="s">
        <v>467</v>
      </c>
      <c r="M244" s="27"/>
      <c r="N244" s="27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4"/>
    </row>
    <row r="245" spans="2:29" x14ac:dyDescent="0.45">
      <c r="B245" s="4"/>
      <c r="C245" s="6"/>
      <c r="D245" s="6"/>
      <c r="E245" s="6"/>
      <c r="F245" s="6"/>
      <c r="G245" s="6"/>
      <c r="H245" s="6"/>
      <c r="I245" s="27">
        <f>_xlfn.XLOOKUP(Saudi_Regions_Cities[[#This Row],[المنطقة الإدارية]],Saudi_Regions[المنطقة الإدارية],Saudi_Regions[رمز المنطقة الإدارية],"")</f>
        <v>9</v>
      </c>
      <c r="J245" s="27" t="s">
        <v>233</v>
      </c>
      <c r="K245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9008</v>
      </c>
      <c r="L245" s="27" t="s">
        <v>468</v>
      </c>
      <c r="M245" s="27"/>
      <c r="N245" s="27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4"/>
    </row>
    <row r="246" spans="2:29" x14ac:dyDescent="0.45">
      <c r="B246" s="4"/>
      <c r="C246" s="6"/>
      <c r="D246" s="6"/>
      <c r="E246" s="6"/>
      <c r="F246" s="6"/>
      <c r="G246" s="6"/>
      <c r="H246" s="6"/>
      <c r="I246" s="27">
        <f>_xlfn.XLOOKUP(Saudi_Regions_Cities[[#This Row],[المنطقة الإدارية]],Saudi_Regions[المنطقة الإدارية],Saudi_Regions[رمز المنطقة الإدارية],"")</f>
        <v>5</v>
      </c>
      <c r="J246" s="27" t="s">
        <v>229</v>
      </c>
      <c r="K246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5018</v>
      </c>
      <c r="L246" s="27" t="s">
        <v>469</v>
      </c>
      <c r="M246" s="27"/>
      <c r="N246" s="27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4"/>
    </row>
    <row r="247" spans="2:29" x14ac:dyDescent="0.45">
      <c r="B247" s="4"/>
      <c r="C247" s="6"/>
      <c r="D247" s="6"/>
      <c r="E247" s="6"/>
      <c r="F247" s="6"/>
      <c r="G247" s="6"/>
      <c r="H247" s="6"/>
      <c r="I247" s="27">
        <f>_xlfn.XLOOKUP(Saudi_Regions_Cities[[#This Row],[المنطقة الإدارية]],Saudi_Regions[المنطقة الإدارية],Saudi_Regions[رمز المنطقة الإدارية],"")</f>
        <v>2</v>
      </c>
      <c r="J247" s="27" t="s">
        <v>226</v>
      </c>
      <c r="K247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2030</v>
      </c>
      <c r="L247" s="27" t="s">
        <v>470</v>
      </c>
      <c r="M247" s="27"/>
      <c r="N247" s="27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4"/>
    </row>
    <row r="248" spans="2:29" x14ac:dyDescent="0.45">
      <c r="B248" s="4"/>
      <c r="C248" s="6"/>
      <c r="D248" s="6"/>
      <c r="E248" s="6"/>
      <c r="F248" s="6"/>
      <c r="G248" s="6"/>
      <c r="H248" s="6"/>
      <c r="I248" s="27">
        <f>_xlfn.XLOOKUP(Saudi_Regions_Cities[[#This Row],[المنطقة الإدارية]],Saudi_Regions[المنطقة الإدارية],Saudi_Regions[رمز المنطقة الإدارية],"")</f>
        <v>6</v>
      </c>
      <c r="J248" s="27" t="s">
        <v>230</v>
      </c>
      <c r="K248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6032</v>
      </c>
      <c r="L248" s="27" t="s">
        <v>471</v>
      </c>
      <c r="M248" s="27"/>
      <c r="N248" s="27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4"/>
    </row>
    <row r="249" spans="2:29" x14ac:dyDescent="0.45">
      <c r="B249" s="4"/>
      <c r="C249" s="6"/>
      <c r="D249" s="6"/>
      <c r="E249" s="6"/>
      <c r="F249" s="6"/>
      <c r="G249" s="6"/>
      <c r="H249" s="6"/>
      <c r="I249" s="27">
        <f>_xlfn.XLOOKUP(Saudi_Regions_Cities[[#This Row],[المنطقة الإدارية]],Saudi_Regions[المنطقة الإدارية],Saudi_Regions[رمز المنطقة الإدارية],"")</f>
        <v>3</v>
      </c>
      <c r="J249" s="27" t="s">
        <v>227</v>
      </c>
      <c r="K249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3053</v>
      </c>
      <c r="L249" s="27" t="s">
        <v>472</v>
      </c>
      <c r="M249" s="27">
        <v>26.566700000000001</v>
      </c>
      <c r="N249" s="27">
        <v>49.979399999999998</v>
      </c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4"/>
    </row>
    <row r="250" spans="2:29" x14ac:dyDescent="0.45">
      <c r="B250" s="4"/>
      <c r="C250" s="6"/>
      <c r="D250" s="6"/>
      <c r="E250" s="6"/>
      <c r="F250" s="6"/>
      <c r="G250" s="6"/>
      <c r="H250" s="6"/>
      <c r="I250" s="27">
        <f>_xlfn.XLOOKUP(Saudi_Regions_Cities[[#This Row],[المنطقة الإدارية]],Saudi_Regions[المنطقة الإدارية],Saudi_Regions[رمز المنطقة الإدارية],"")</f>
        <v>6</v>
      </c>
      <c r="J250" s="27" t="s">
        <v>230</v>
      </c>
      <c r="K250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6033</v>
      </c>
      <c r="L250" s="27" t="s">
        <v>473</v>
      </c>
      <c r="M250" s="27"/>
      <c r="N250" s="27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4"/>
    </row>
    <row r="251" spans="2:29" x14ac:dyDescent="0.45">
      <c r="B251" s="4"/>
      <c r="C251" s="6"/>
      <c r="D251" s="6"/>
      <c r="E251" s="6"/>
      <c r="F251" s="6"/>
      <c r="G251" s="6"/>
      <c r="H251" s="6"/>
      <c r="I251" s="27">
        <f>_xlfn.XLOOKUP(Saudi_Regions_Cities[[#This Row],[المنطقة الإدارية]],Saudi_Regions[المنطقة الإدارية],Saudi_Regions[رمز المنطقة الإدارية],"")</f>
        <v>10</v>
      </c>
      <c r="J251" s="27" t="s">
        <v>234</v>
      </c>
      <c r="K251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10009</v>
      </c>
      <c r="L251" s="27" t="s">
        <v>474</v>
      </c>
      <c r="M251" s="27"/>
      <c r="N251" s="27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4"/>
    </row>
    <row r="252" spans="2:29" x14ac:dyDescent="0.45">
      <c r="B252" s="4"/>
      <c r="C252" s="6"/>
      <c r="D252" s="6"/>
      <c r="E252" s="6"/>
      <c r="F252" s="6"/>
      <c r="G252" s="6"/>
      <c r="H252" s="6"/>
      <c r="I252" s="27">
        <f>_xlfn.XLOOKUP(Saudi_Regions_Cities[[#This Row],[المنطقة الإدارية]],Saudi_Regions[المنطقة الإدارية],Saudi_Regions[رمز المنطقة الإدارية],"")</f>
        <v>3</v>
      </c>
      <c r="J252" s="27" t="s">
        <v>227</v>
      </c>
      <c r="K252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3054</v>
      </c>
      <c r="L252" s="27" t="s">
        <v>475</v>
      </c>
      <c r="M252" s="27">
        <v>25.3614</v>
      </c>
      <c r="N252" s="27">
        <v>49.598300000000002</v>
      </c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4"/>
    </row>
    <row r="253" spans="2:29" x14ac:dyDescent="0.45">
      <c r="B253" s="4"/>
      <c r="C253" s="6"/>
      <c r="D253" s="6"/>
      <c r="E253" s="6"/>
      <c r="F253" s="6"/>
      <c r="G253" s="6"/>
      <c r="H253" s="6"/>
      <c r="I253" s="27">
        <f>_xlfn.XLOOKUP(Saudi_Regions_Cities[[#This Row],[المنطقة الإدارية]],Saudi_Regions[المنطقة الإدارية],Saudi_Regions[رمز المنطقة الإدارية],"")</f>
        <v>7</v>
      </c>
      <c r="J253" s="27" t="s">
        <v>231</v>
      </c>
      <c r="K253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7018</v>
      </c>
      <c r="L253" s="27" t="s">
        <v>476</v>
      </c>
      <c r="M253" s="27"/>
      <c r="N253" s="27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4"/>
    </row>
    <row r="254" spans="2:29" x14ac:dyDescent="0.45">
      <c r="B254" s="4"/>
      <c r="C254" s="6"/>
      <c r="D254" s="6"/>
      <c r="E254" s="6"/>
      <c r="F254" s="6"/>
      <c r="G254" s="6"/>
      <c r="H254" s="6"/>
      <c r="I254" s="27">
        <f>_xlfn.XLOOKUP(Saudi_Regions_Cities[[#This Row],[المنطقة الإدارية]],Saudi_Regions[المنطقة الإدارية],Saudi_Regions[رمز المنطقة الإدارية],"")</f>
        <v>7</v>
      </c>
      <c r="J254" s="27" t="s">
        <v>231</v>
      </c>
      <c r="K254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7019</v>
      </c>
      <c r="L254" s="27" t="s">
        <v>477</v>
      </c>
      <c r="M254" s="27"/>
      <c r="N254" s="27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4"/>
    </row>
    <row r="255" spans="2:29" x14ac:dyDescent="0.45">
      <c r="B255" s="4"/>
      <c r="C255" s="6"/>
      <c r="D255" s="6"/>
      <c r="E255" s="6"/>
      <c r="F255" s="6"/>
      <c r="G255" s="6"/>
      <c r="H255" s="6"/>
      <c r="I255" s="27">
        <f>_xlfn.XLOOKUP(Saudi_Regions_Cities[[#This Row],[المنطقة الإدارية]],Saudi_Regions[المنطقة الإدارية],Saudi_Regions[رمز المنطقة الإدارية],"")</f>
        <v>2</v>
      </c>
      <c r="J255" s="27" t="s">
        <v>226</v>
      </c>
      <c r="K255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2031</v>
      </c>
      <c r="L255" s="27" t="s">
        <v>478</v>
      </c>
      <c r="M255" s="27"/>
      <c r="N255" s="27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4"/>
    </row>
    <row r="256" spans="2:29" x14ac:dyDescent="0.45">
      <c r="B256" s="4"/>
      <c r="C256" s="6"/>
      <c r="D256" s="6"/>
      <c r="E256" s="6"/>
      <c r="F256" s="6"/>
      <c r="G256" s="6"/>
      <c r="H256" s="6"/>
      <c r="I256" s="27">
        <f>_xlfn.XLOOKUP(Saudi_Regions_Cities[[#This Row],[المنطقة الإدارية]],Saudi_Regions[المنطقة الإدارية],Saudi_Regions[رمز المنطقة الإدارية],"")</f>
        <v>1</v>
      </c>
      <c r="J256" s="27" t="s">
        <v>225</v>
      </c>
      <c r="K256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1041</v>
      </c>
      <c r="L256" s="27" t="s">
        <v>479</v>
      </c>
      <c r="M256" s="27"/>
      <c r="N256" s="27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4"/>
    </row>
    <row r="257" spans="2:29" x14ac:dyDescent="0.45">
      <c r="B257" s="4"/>
      <c r="C257" s="6"/>
      <c r="D257" s="6"/>
      <c r="E257" s="6"/>
      <c r="F257" s="6"/>
      <c r="G257" s="6"/>
      <c r="H257" s="6"/>
      <c r="I257" s="27">
        <f>_xlfn.XLOOKUP(Saudi_Regions_Cities[[#This Row],[المنطقة الإدارية]],Saudi_Regions[المنطقة الإدارية],Saudi_Regions[رمز المنطقة الإدارية],"")</f>
        <v>3</v>
      </c>
      <c r="J257" s="27" t="s">
        <v>227</v>
      </c>
      <c r="K257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3055</v>
      </c>
      <c r="L257" s="27" t="s">
        <v>480</v>
      </c>
      <c r="M257" s="27">
        <v>25.4072</v>
      </c>
      <c r="N257" s="27">
        <v>49.678800000000003</v>
      </c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4"/>
    </row>
    <row r="258" spans="2:29" x14ac:dyDescent="0.45">
      <c r="B258" s="4"/>
      <c r="C258" s="6"/>
      <c r="D258" s="6"/>
      <c r="E258" s="6"/>
      <c r="F258" s="6"/>
      <c r="G258" s="6"/>
      <c r="H258" s="6"/>
      <c r="I258" s="27">
        <f>_xlfn.XLOOKUP(Saudi_Regions_Cities[[#This Row],[المنطقة الإدارية]],Saudi_Regions[المنطقة الإدارية],Saudi_Regions[رمز المنطقة الإدارية],"")</f>
        <v>10</v>
      </c>
      <c r="J258" s="27" t="s">
        <v>234</v>
      </c>
      <c r="K258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10010</v>
      </c>
      <c r="L258" s="27" t="s">
        <v>481</v>
      </c>
      <c r="M258" s="27"/>
      <c r="N258" s="27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4"/>
    </row>
    <row r="259" spans="2:29" x14ac:dyDescent="0.45">
      <c r="B259" s="4"/>
      <c r="C259" s="6"/>
      <c r="D259" s="6"/>
      <c r="E259" s="6"/>
      <c r="F259" s="6"/>
      <c r="G259" s="6"/>
      <c r="H259" s="6"/>
      <c r="I259" s="27">
        <f>_xlfn.XLOOKUP(Saudi_Regions_Cities[[#This Row],[المنطقة الإدارية]],Saudi_Regions[المنطقة الإدارية],Saudi_Regions[رمز المنطقة الإدارية],"")</f>
        <v>6</v>
      </c>
      <c r="J259" s="27" t="s">
        <v>230</v>
      </c>
      <c r="K259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6034</v>
      </c>
      <c r="L259" s="27" t="s">
        <v>482</v>
      </c>
      <c r="M259" s="27"/>
      <c r="N259" s="27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4"/>
    </row>
    <row r="260" spans="2:29" x14ac:dyDescent="0.45">
      <c r="B260" s="5"/>
      <c r="C260" s="6"/>
      <c r="D260" s="6"/>
      <c r="E260" s="6"/>
      <c r="F260" s="6"/>
      <c r="G260" s="6"/>
      <c r="H260" s="6"/>
      <c r="I260" s="27">
        <f>_xlfn.XLOOKUP(Saudi_Regions_Cities[[#This Row],[المنطقة الإدارية]],Saudi_Regions[المنطقة الإدارية],Saudi_Regions[رمز المنطقة الإدارية],"")</f>
        <v>1</v>
      </c>
      <c r="J260" s="27" t="s">
        <v>225</v>
      </c>
      <c r="K260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1042</v>
      </c>
      <c r="L260" s="27" t="s">
        <v>483</v>
      </c>
      <c r="M260" s="27"/>
      <c r="N260" s="27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5"/>
    </row>
    <row r="261" spans="2:29" x14ac:dyDescent="0.45">
      <c r="B261" s="5"/>
      <c r="C261" s="6"/>
      <c r="D261" s="6"/>
      <c r="E261" s="6"/>
      <c r="F261" s="6"/>
      <c r="G261" s="6"/>
      <c r="H261" s="6"/>
      <c r="I261" s="27">
        <f>_xlfn.XLOOKUP(Saudi_Regions_Cities[[#This Row],[المنطقة الإدارية]],Saudi_Regions[المنطقة الإدارية],Saudi_Regions[رمز المنطقة الإدارية],"")</f>
        <v>2</v>
      </c>
      <c r="J261" s="27" t="s">
        <v>226</v>
      </c>
      <c r="K261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2032</v>
      </c>
      <c r="L261" s="27" t="s">
        <v>484</v>
      </c>
      <c r="M261" s="27"/>
      <c r="N261" s="27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5"/>
    </row>
    <row r="262" spans="2:29" x14ac:dyDescent="0.45">
      <c r="B262" s="5"/>
      <c r="C262" s="6"/>
      <c r="D262" s="6"/>
      <c r="E262" s="6"/>
      <c r="F262" s="6"/>
      <c r="G262" s="6"/>
      <c r="H262" s="6"/>
      <c r="I262" s="27">
        <f>_xlfn.XLOOKUP(Saudi_Regions_Cities[[#This Row],[المنطقة الإدارية]],Saudi_Regions[المنطقة الإدارية],Saudi_Regions[رمز المنطقة الإدارية],"")</f>
        <v>2</v>
      </c>
      <c r="J262" s="27" t="s">
        <v>226</v>
      </c>
      <c r="K262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2033</v>
      </c>
      <c r="L262" s="27" t="s">
        <v>485</v>
      </c>
      <c r="M262" s="27">
        <v>22.618583000000001</v>
      </c>
      <c r="N262" s="27">
        <v>41.363493400000003</v>
      </c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5"/>
    </row>
    <row r="263" spans="2:29" x14ac:dyDescent="0.45">
      <c r="B263" s="5"/>
      <c r="C263" s="6"/>
      <c r="D263" s="6"/>
      <c r="E263" s="6"/>
      <c r="F263" s="6"/>
      <c r="G263" s="6"/>
      <c r="H263" s="6"/>
      <c r="I263" s="27">
        <f>_xlfn.XLOOKUP(Saudi_Regions_Cities[[#This Row],[المنطقة الإدارية]],Saudi_Regions[المنطقة الإدارية],Saudi_Regions[رمز المنطقة الإدارية],"")</f>
        <v>7</v>
      </c>
      <c r="J263" s="27" t="s">
        <v>231</v>
      </c>
      <c r="K263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7020</v>
      </c>
      <c r="L263" s="27" t="s">
        <v>486</v>
      </c>
      <c r="M263" s="27"/>
      <c r="N263" s="27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5"/>
    </row>
    <row r="264" spans="2:29" x14ac:dyDescent="0.45">
      <c r="B264" s="5"/>
      <c r="C264" s="6"/>
      <c r="D264" s="6"/>
      <c r="E264" s="6"/>
      <c r="F264" s="6"/>
      <c r="G264" s="6"/>
      <c r="H264" s="6"/>
      <c r="I264" s="27">
        <f>_xlfn.XLOOKUP(Saudi_Regions_Cities[[#This Row],[المنطقة الإدارية]],Saudi_Regions[المنطقة الإدارية],Saudi_Regions[رمز المنطقة الإدارية],"")</f>
        <v>6</v>
      </c>
      <c r="J264" s="27" t="s">
        <v>230</v>
      </c>
      <c r="K264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6035</v>
      </c>
      <c r="L264" s="27" t="s">
        <v>487</v>
      </c>
      <c r="M264" s="27">
        <v>17.716699999999999</v>
      </c>
      <c r="N264" s="27">
        <v>42.25</v>
      </c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5"/>
    </row>
    <row r="265" spans="2:29" x14ac:dyDescent="0.45">
      <c r="B265" s="5"/>
      <c r="C265" s="6"/>
      <c r="D265" s="6"/>
      <c r="E265" s="6"/>
      <c r="F265" s="6"/>
      <c r="G265" s="6"/>
      <c r="H265" s="6"/>
      <c r="I265" s="27">
        <f>_xlfn.XLOOKUP(Saudi_Regions_Cities[[#This Row],[المنطقة الإدارية]],Saudi_Regions[المنطقة الإدارية],Saudi_Regions[رمز المنطقة الإدارية],"")</f>
        <v>1</v>
      </c>
      <c r="J265" s="27" t="s">
        <v>225</v>
      </c>
      <c r="K265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1043</v>
      </c>
      <c r="L265" s="27" t="s">
        <v>488</v>
      </c>
      <c r="M265" s="27"/>
      <c r="N265" s="27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5"/>
    </row>
    <row r="266" spans="2:29" x14ac:dyDescent="0.45">
      <c r="B266" s="5"/>
      <c r="C266" s="6"/>
      <c r="D266" s="6"/>
      <c r="E266" s="6"/>
      <c r="F266" s="6"/>
      <c r="G266" s="6"/>
      <c r="H266" s="6"/>
      <c r="I266" s="27">
        <f>_xlfn.XLOOKUP(Saudi_Regions_Cities[[#This Row],[المنطقة الإدارية]],Saudi_Regions[المنطقة الإدارية],Saudi_Regions[رمز المنطقة الإدارية],"")</f>
        <v>2</v>
      </c>
      <c r="J266" s="27" t="s">
        <v>226</v>
      </c>
      <c r="K266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2034</v>
      </c>
      <c r="L266" s="27" t="s">
        <v>489</v>
      </c>
      <c r="M266" s="27"/>
      <c r="N266" s="27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5"/>
    </row>
    <row r="267" spans="2:29" x14ac:dyDescent="0.45">
      <c r="B267" s="5"/>
      <c r="C267" s="6"/>
      <c r="D267" s="6"/>
      <c r="E267" s="6"/>
      <c r="F267" s="6"/>
      <c r="G267" s="6"/>
      <c r="H267" s="6"/>
      <c r="I267" s="27">
        <f>_xlfn.XLOOKUP(Saudi_Regions_Cities[[#This Row],[المنطقة الإدارية]],Saudi_Regions[المنطقة الإدارية],Saudi_Regions[رمز المنطقة الإدارية],"")</f>
        <v>1</v>
      </c>
      <c r="J267" s="27" t="s">
        <v>225</v>
      </c>
      <c r="K267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1044</v>
      </c>
      <c r="L267" s="27" t="s">
        <v>490</v>
      </c>
      <c r="M267" s="27"/>
      <c r="N267" s="27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5"/>
    </row>
    <row r="268" spans="2:29" x14ac:dyDescent="0.45">
      <c r="B268" s="5"/>
      <c r="C268" s="6"/>
      <c r="D268" s="6"/>
      <c r="E268" s="6"/>
      <c r="F268" s="6"/>
      <c r="G268" s="6"/>
      <c r="H268" s="6"/>
      <c r="I268" s="27">
        <f>_xlfn.XLOOKUP(Saudi_Regions_Cities[[#This Row],[المنطقة الإدارية]],Saudi_Regions[المنطقة الإدارية],Saudi_Regions[رمز المنطقة الإدارية],"")</f>
        <v>3</v>
      </c>
      <c r="J268" s="27" t="s">
        <v>227</v>
      </c>
      <c r="K268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3056</v>
      </c>
      <c r="L268" s="27" t="s">
        <v>491</v>
      </c>
      <c r="M268" s="27">
        <v>25.359200000000001</v>
      </c>
      <c r="N268" s="27">
        <v>49.596499999999999</v>
      </c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5"/>
    </row>
    <row r="269" spans="2:29" x14ac:dyDescent="0.45">
      <c r="B269" s="5"/>
      <c r="C269" s="6"/>
      <c r="D269" s="6"/>
      <c r="E269" s="6"/>
      <c r="F269" s="6"/>
      <c r="G269" s="6"/>
      <c r="H269" s="6"/>
      <c r="I269" s="27">
        <f>_xlfn.XLOOKUP(Saudi_Regions_Cities[[#This Row],[المنطقة الإدارية]],Saudi_Regions[المنطقة الإدارية],Saudi_Regions[رمز المنطقة الإدارية],"")</f>
        <v>2</v>
      </c>
      <c r="J269" s="27" t="s">
        <v>226</v>
      </c>
      <c r="K269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2035</v>
      </c>
      <c r="L269" s="27" t="s">
        <v>492</v>
      </c>
      <c r="M269" s="27"/>
      <c r="N269" s="27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5"/>
    </row>
    <row r="270" spans="2:29" x14ac:dyDescent="0.45">
      <c r="B270" s="5"/>
      <c r="C270" s="6"/>
      <c r="D270" s="6"/>
      <c r="E270" s="6"/>
      <c r="F270" s="6"/>
      <c r="G270" s="6"/>
      <c r="H270" s="6"/>
      <c r="I270" s="27">
        <f>_xlfn.XLOOKUP(Saudi_Regions_Cities[[#This Row],[المنطقة الإدارية]],Saudi_Regions[المنطقة الإدارية],Saudi_Regions[رمز المنطقة الإدارية],"")</f>
        <v>7</v>
      </c>
      <c r="J270" s="27" t="s">
        <v>231</v>
      </c>
      <c r="K270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7021</v>
      </c>
      <c r="L270" s="27" t="s">
        <v>493</v>
      </c>
      <c r="M270" s="27"/>
      <c r="N270" s="27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5"/>
    </row>
    <row r="271" spans="2:29" x14ac:dyDescent="0.45">
      <c r="B271" s="5"/>
      <c r="C271" s="6"/>
      <c r="D271" s="6"/>
      <c r="E271" s="6"/>
      <c r="F271" s="6"/>
      <c r="G271" s="6"/>
      <c r="H271" s="6"/>
      <c r="I271" s="27">
        <f>_xlfn.XLOOKUP(Saudi_Regions_Cities[[#This Row],[المنطقة الإدارية]],Saudi_Regions[المنطقة الإدارية],Saudi_Regions[رمز المنطقة الإدارية],"")</f>
        <v>5</v>
      </c>
      <c r="J271" s="27" t="s">
        <v>229</v>
      </c>
      <c r="K271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5019</v>
      </c>
      <c r="L271" s="27" t="s">
        <v>494</v>
      </c>
      <c r="M271" s="27"/>
      <c r="N271" s="27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5"/>
    </row>
    <row r="272" spans="2:29" x14ac:dyDescent="0.45">
      <c r="B272" s="5"/>
      <c r="C272" s="6"/>
      <c r="D272" s="6"/>
      <c r="E272" s="6"/>
      <c r="F272" s="6"/>
      <c r="G272" s="6"/>
      <c r="H272" s="6"/>
      <c r="I272" s="27">
        <f>_xlfn.XLOOKUP(Saudi_Regions_Cities[[#This Row],[المنطقة الإدارية]],Saudi_Regions[المنطقة الإدارية],Saudi_Regions[رمز المنطقة الإدارية],"")</f>
        <v>3</v>
      </c>
      <c r="J272" s="27" t="s">
        <v>227</v>
      </c>
      <c r="K272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3057</v>
      </c>
      <c r="L272" s="27" t="s">
        <v>495</v>
      </c>
      <c r="M272" s="27">
        <v>25.3247</v>
      </c>
      <c r="N272" s="27">
        <v>49.693300000000001</v>
      </c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5"/>
    </row>
    <row r="273" spans="2:29" x14ac:dyDescent="0.45">
      <c r="B273" s="5"/>
      <c r="C273" s="6"/>
      <c r="D273" s="6"/>
      <c r="E273" s="6"/>
      <c r="F273" s="6"/>
      <c r="G273" s="6"/>
      <c r="H273" s="6"/>
      <c r="I273" s="27">
        <f>_xlfn.XLOOKUP(Saudi_Regions_Cities[[#This Row],[المنطقة الإدارية]],Saudi_Regions[المنطقة الإدارية],Saudi_Regions[رمز المنطقة الإدارية],"")</f>
        <v>2</v>
      </c>
      <c r="J273" s="27" t="s">
        <v>226</v>
      </c>
      <c r="K273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2036</v>
      </c>
      <c r="L273" s="27" t="s">
        <v>496</v>
      </c>
      <c r="M273" s="27"/>
      <c r="N273" s="27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5"/>
    </row>
    <row r="274" spans="2:29" x14ac:dyDescent="0.45">
      <c r="B274" s="5"/>
      <c r="C274" s="6"/>
      <c r="D274" s="6"/>
      <c r="E274" s="6"/>
      <c r="F274" s="6"/>
      <c r="G274" s="6"/>
      <c r="H274" s="6"/>
      <c r="I274" s="27">
        <f>_xlfn.XLOOKUP(Saudi_Regions_Cities[[#This Row],[المنطقة الإدارية]],Saudi_Regions[المنطقة الإدارية],Saudi_Regions[رمز المنطقة الإدارية],"")</f>
        <v>10</v>
      </c>
      <c r="J274" s="27" t="s">
        <v>234</v>
      </c>
      <c r="K274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10011</v>
      </c>
      <c r="L274" s="27" t="s">
        <v>497</v>
      </c>
      <c r="M274" s="27"/>
      <c r="N274" s="27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5"/>
    </row>
    <row r="275" spans="2:29" x14ac:dyDescent="0.45">
      <c r="B275" s="5"/>
      <c r="C275" s="6"/>
      <c r="D275" s="6"/>
      <c r="E275" s="6"/>
      <c r="F275" s="6"/>
      <c r="G275" s="6"/>
      <c r="H275" s="6"/>
      <c r="I275" s="27">
        <f>_xlfn.XLOOKUP(Saudi_Regions_Cities[[#This Row],[المنطقة الإدارية]],Saudi_Regions[المنطقة الإدارية],Saudi_Regions[رمز المنطقة الإدارية],"")</f>
        <v>10</v>
      </c>
      <c r="J275" s="27" t="s">
        <v>234</v>
      </c>
      <c r="K275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10012</v>
      </c>
      <c r="L275" s="27" t="s">
        <v>498</v>
      </c>
      <c r="M275" s="27"/>
      <c r="N275" s="27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5"/>
    </row>
    <row r="276" spans="2:29" x14ac:dyDescent="0.45">
      <c r="B276" s="5"/>
      <c r="C276" s="6"/>
      <c r="D276" s="6"/>
      <c r="E276" s="6"/>
      <c r="F276" s="6"/>
      <c r="G276" s="6"/>
      <c r="H276" s="6"/>
      <c r="I276" s="27">
        <f>_xlfn.XLOOKUP(Saudi_Regions_Cities[[#This Row],[المنطقة الإدارية]],Saudi_Regions[المنطقة الإدارية],Saudi_Regions[رمز المنطقة الإدارية],"")</f>
        <v>10</v>
      </c>
      <c r="J276" s="27" t="s">
        <v>234</v>
      </c>
      <c r="K276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10013</v>
      </c>
      <c r="L276" s="27" t="s">
        <v>499</v>
      </c>
      <c r="M276" s="27"/>
      <c r="N276" s="27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5"/>
    </row>
    <row r="277" spans="2:29" x14ac:dyDescent="0.45">
      <c r="B277" s="5"/>
      <c r="C277" s="6"/>
      <c r="D277" s="6"/>
      <c r="E277" s="6"/>
      <c r="F277" s="6"/>
      <c r="G277" s="6"/>
      <c r="H277" s="6"/>
      <c r="I277" s="27">
        <f>_xlfn.XLOOKUP(Saudi_Regions_Cities[[#This Row],[المنطقة الإدارية]],Saudi_Regions[المنطقة الإدارية],Saudi_Regions[رمز المنطقة الإدارية],"")</f>
        <v>10</v>
      </c>
      <c r="J277" s="27" t="s">
        <v>234</v>
      </c>
      <c r="K277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10014</v>
      </c>
      <c r="L277" s="27" t="s">
        <v>500</v>
      </c>
      <c r="M277" s="27"/>
      <c r="N277" s="27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5"/>
    </row>
    <row r="278" spans="2:29" x14ac:dyDescent="0.45">
      <c r="B278" s="5"/>
      <c r="C278" s="6"/>
      <c r="D278" s="6"/>
      <c r="E278" s="6"/>
      <c r="F278" s="6"/>
      <c r="G278" s="6"/>
      <c r="H278" s="6"/>
      <c r="I278" s="27">
        <f>_xlfn.XLOOKUP(Saudi_Regions_Cities[[#This Row],[المنطقة الإدارية]],Saudi_Regions[المنطقة الإدارية],Saudi_Regions[رمز المنطقة الإدارية],"")</f>
        <v>3</v>
      </c>
      <c r="J278" s="27" t="s">
        <v>227</v>
      </c>
      <c r="K278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3058</v>
      </c>
      <c r="L278" s="27" t="s">
        <v>192</v>
      </c>
      <c r="M278" s="27"/>
      <c r="N278" s="27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5"/>
    </row>
    <row r="279" spans="2:29" x14ac:dyDescent="0.45">
      <c r="B279" s="5"/>
      <c r="C279" s="6"/>
      <c r="D279" s="6"/>
      <c r="E279" s="6"/>
      <c r="F279" s="6"/>
      <c r="G279" s="6"/>
      <c r="H279" s="6"/>
      <c r="I279" s="27">
        <f>_xlfn.XLOOKUP(Saudi_Regions_Cities[[#This Row],[المنطقة الإدارية]],Saudi_Regions[المنطقة الإدارية],Saudi_Regions[رمز المنطقة الإدارية],"")</f>
        <v>3</v>
      </c>
      <c r="J279" s="27" t="s">
        <v>227</v>
      </c>
      <c r="K279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3059</v>
      </c>
      <c r="L279" s="27" t="s">
        <v>501</v>
      </c>
      <c r="M279" s="27">
        <v>27.006937000000001</v>
      </c>
      <c r="N279" s="27">
        <v>47.054400000000001</v>
      </c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5"/>
    </row>
    <row r="280" spans="2:29" x14ac:dyDescent="0.45">
      <c r="B280" s="5"/>
      <c r="C280" s="6"/>
      <c r="D280" s="6"/>
      <c r="E280" s="6"/>
      <c r="F280" s="6"/>
      <c r="G280" s="6"/>
      <c r="H280" s="6"/>
      <c r="I280" s="27">
        <f>_xlfn.XLOOKUP(Saudi_Regions_Cities[[#This Row],[المنطقة الإدارية]],Saudi_Regions[المنطقة الإدارية],Saudi_Regions[رمز المنطقة الإدارية],"")</f>
        <v>3</v>
      </c>
      <c r="J280" s="27" t="s">
        <v>227</v>
      </c>
      <c r="K280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3060</v>
      </c>
      <c r="L280" s="27" t="s">
        <v>502</v>
      </c>
      <c r="M280" s="27"/>
      <c r="N280" s="27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5"/>
    </row>
    <row r="281" spans="2:29" x14ac:dyDescent="0.45">
      <c r="B281" s="5"/>
      <c r="C281" s="6"/>
      <c r="D281" s="6"/>
      <c r="E281" s="6"/>
      <c r="F281" s="6"/>
      <c r="G281" s="6"/>
      <c r="H281" s="6"/>
      <c r="I281" s="27">
        <f>_xlfn.XLOOKUP(Saudi_Regions_Cities[[#This Row],[المنطقة الإدارية]],Saudi_Regions[المنطقة الإدارية],Saudi_Regions[رمز المنطقة الإدارية],"")</f>
        <v>3</v>
      </c>
      <c r="J281" s="27" t="s">
        <v>227</v>
      </c>
      <c r="K281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3061</v>
      </c>
      <c r="L281" s="27" t="s">
        <v>503</v>
      </c>
      <c r="M281" s="27"/>
      <c r="N281" s="27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5"/>
    </row>
    <row r="282" spans="2:29" x14ac:dyDescent="0.45">
      <c r="B282" s="5"/>
      <c r="C282" s="6"/>
      <c r="D282" s="6"/>
      <c r="E282" s="6"/>
      <c r="F282" s="6"/>
      <c r="G282" s="6"/>
      <c r="H282" s="6"/>
      <c r="I282" s="27">
        <f>_xlfn.XLOOKUP(Saudi_Regions_Cities[[#This Row],[المنطقة الإدارية]],Saudi_Regions[المنطقة الإدارية],Saudi_Regions[رمز المنطقة الإدارية],"")</f>
        <v>3</v>
      </c>
      <c r="J282" s="27" t="s">
        <v>227</v>
      </c>
      <c r="K282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3062</v>
      </c>
      <c r="L282" s="27" t="s">
        <v>504</v>
      </c>
      <c r="M282" s="27"/>
      <c r="N282" s="27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5"/>
    </row>
    <row r="283" spans="2:29" x14ac:dyDescent="0.45">
      <c r="B283" s="5"/>
      <c r="C283" s="6"/>
      <c r="D283" s="6"/>
      <c r="E283" s="6"/>
      <c r="F283" s="6"/>
      <c r="G283" s="6"/>
      <c r="H283" s="6"/>
      <c r="I283" s="27">
        <f>_xlfn.XLOOKUP(Saudi_Regions_Cities[[#This Row],[المنطقة الإدارية]],Saudi_Regions[المنطقة الإدارية],Saudi_Regions[رمز المنطقة الإدارية],"")</f>
        <v>3</v>
      </c>
      <c r="J283" s="27" t="s">
        <v>227</v>
      </c>
      <c r="K283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3063</v>
      </c>
      <c r="L283" s="27" t="s">
        <v>505</v>
      </c>
      <c r="M283" s="27"/>
      <c r="N283" s="27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5"/>
    </row>
    <row r="284" spans="2:29" x14ac:dyDescent="0.45">
      <c r="B284" s="5"/>
      <c r="C284" s="6"/>
      <c r="D284" s="6"/>
      <c r="E284" s="6"/>
      <c r="F284" s="6"/>
      <c r="G284" s="6"/>
      <c r="H284" s="6"/>
      <c r="I284" s="27">
        <f>_xlfn.XLOOKUP(Saudi_Regions_Cities[[#This Row],[المنطقة الإدارية]],Saudi_Regions[المنطقة الإدارية],Saudi_Regions[رمز المنطقة الإدارية],"")</f>
        <v>3</v>
      </c>
      <c r="J284" s="27" t="s">
        <v>227</v>
      </c>
      <c r="K284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3064</v>
      </c>
      <c r="L284" s="27" t="s">
        <v>506</v>
      </c>
      <c r="M284" s="27"/>
      <c r="N284" s="27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5"/>
    </row>
    <row r="285" spans="2:29" x14ac:dyDescent="0.45">
      <c r="B285" s="5"/>
      <c r="C285" s="6"/>
      <c r="D285" s="6"/>
      <c r="E285" s="6"/>
      <c r="F285" s="6"/>
      <c r="G285" s="6"/>
      <c r="H285" s="6"/>
      <c r="I285" s="27">
        <f>_xlfn.XLOOKUP(Saudi_Regions_Cities[[#This Row],[المنطقة الإدارية]],Saudi_Regions[المنطقة الإدارية],Saudi_Regions[رمز المنطقة الإدارية],"")</f>
        <v>3</v>
      </c>
      <c r="J285" s="27" t="s">
        <v>227</v>
      </c>
      <c r="K285" s="27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3065</v>
      </c>
      <c r="L285" s="27" t="s">
        <v>507</v>
      </c>
      <c r="M285" s="27"/>
      <c r="N285" s="27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5"/>
    </row>
    <row r="286" spans="2:29" x14ac:dyDescent="0.45">
      <c r="B286" s="5"/>
      <c r="C286" s="6"/>
      <c r="D286" s="6"/>
      <c r="E286" s="6"/>
      <c r="F286" s="6"/>
      <c r="G286" s="6"/>
      <c r="H286" s="6"/>
      <c r="I286" s="21">
        <f>_xlfn.XLOOKUP(Saudi_Regions_Cities[[#This Row],[المنطقة الإدارية]],Saudi_Regions[المنطقة الإدارية],Saudi_Regions[رمز المنطقة الإدارية],"")</f>
        <v>5</v>
      </c>
      <c r="J286" s="21" t="s">
        <v>229</v>
      </c>
      <c r="K286" s="21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5020</v>
      </c>
      <c r="L286" s="21" t="s">
        <v>508</v>
      </c>
      <c r="M286" s="21">
        <v>18.221014100000001</v>
      </c>
      <c r="N286" s="21">
        <v>41.536624400000001</v>
      </c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5"/>
    </row>
    <row r="287" spans="2:29" x14ac:dyDescent="0.45">
      <c r="B287" s="5"/>
      <c r="C287" s="6"/>
      <c r="D287" s="6"/>
      <c r="E287" s="6"/>
      <c r="F287" s="6"/>
      <c r="G287" s="6"/>
      <c r="H287" s="6"/>
      <c r="I287" s="21">
        <f>_xlfn.XLOOKUP(Saudi_Regions_Cities[[#This Row],[المنطقة الإدارية]],Saudi_Regions[المنطقة الإدارية],Saudi_Regions[رمز المنطقة الإدارية],"")</f>
        <v>13</v>
      </c>
      <c r="J287" s="21" t="s">
        <v>237</v>
      </c>
      <c r="K287" s="21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13008</v>
      </c>
      <c r="L287" s="21" t="s">
        <v>509</v>
      </c>
      <c r="M287" s="21">
        <v>20.244209900000001</v>
      </c>
      <c r="N287" s="21">
        <v>41.359308900000002</v>
      </c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5"/>
    </row>
    <row r="288" spans="2:29" x14ac:dyDescent="0.45">
      <c r="B288" s="5"/>
      <c r="C288" s="6"/>
      <c r="D288" s="6"/>
      <c r="E288" s="6"/>
      <c r="F288" s="6"/>
      <c r="G288" s="6"/>
      <c r="H288" s="6"/>
      <c r="I288" s="21">
        <f>_xlfn.XLOOKUP(Saudi_Regions_Cities[[#This Row],[المنطقة الإدارية]],Saudi_Regions[المنطقة الإدارية],Saudi_Regions[رمز المنطقة الإدارية],"")</f>
        <v>13</v>
      </c>
      <c r="J288" s="21" t="s">
        <v>237</v>
      </c>
      <c r="K288" s="21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13009</v>
      </c>
      <c r="L288" s="21" t="s">
        <v>510</v>
      </c>
      <c r="M288" s="21">
        <v>20.200566599999998</v>
      </c>
      <c r="N288" s="21">
        <v>41.064786699999999</v>
      </c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5"/>
    </row>
    <row r="289" spans="2:29" x14ac:dyDescent="0.45">
      <c r="B289" s="23"/>
      <c r="C289" s="20"/>
      <c r="D289" s="20"/>
      <c r="E289" s="20"/>
      <c r="F289" s="20"/>
      <c r="G289" s="20"/>
      <c r="H289" s="20"/>
      <c r="I289" s="21">
        <f>_xlfn.XLOOKUP(Saudi_Regions_Cities[[#This Row],[المنطقة الإدارية]],Saudi_Regions[المنطقة الإدارية],Saudi_Regions[رمز المنطقة الإدارية],"")</f>
        <v>13</v>
      </c>
      <c r="J289" s="21" t="s">
        <v>237</v>
      </c>
      <c r="K289" s="21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13010</v>
      </c>
      <c r="L289" s="21" t="s">
        <v>511</v>
      </c>
      <c r="M289" s="21">
        <v>20.104974899999998</v>
      </c>
      <c r="N289" s="21">
        <v>41.375198099999999</v>
      </c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3"/>
    </row>
    <row r="290" spans="2:29" x14ac:dyDescent="0.45">
      <c r="B290" s="23"/>
      <c r="C290" s="20"/>
      <c r="D290" s="20"/>
      <c r="E290" s="20"/>
      <c r="F290" s="20"/>
      <c r="G290" s="20"/>
      <c r="H290" s="20"/>
      <c r="I290" s="21">
        <f>_xlfn.XLOOKUP(Saudi_Regions_Cities[[#This Row],[المنطقة الإدارية]],Saudi_Regions[المنطقة الإدارية],Saudi_Regions[رمز المنطقة الإدارية],"")</f>
        <v>13</v>
      </c>
      <c r="J290" s="21" t="s">
        <v>237</v>
      </c>
      <c r="K290" s="21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13011</v>
      </c>
      <c r="L290" s="21" t="s">
        <v>512</v>
      </c>
      <c r="M290" s="21">
        <v>19.8420995</v>
      </c>
      <c r="N290" s="21">
        <v>41.664515100000003</v>
      </c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3"/>
    </row>
    <row r="291" spans="2:29" x14ac:dyDescent="0.45">
      <c r="B291" s="23"/>
      <c r="C291" s="20"/>
      <c r="D291" s="20"/>
      <c r="E291" s="20"/>
      <c r="F291" s="20"/>
      <c r="G291" s="20"/>
      <c r="H291" s="20"/>
      <c r="I291" s="21">
        <f>_xlfn.XLOOKUP(Saudi_Regions_Cities[[#This Row],[المنطقة الإدارية]],Saudi_Regions[المنطقة الإدارية],Saudi_Regions[رمز المنطقة الإدارية],"")</f>
        <v>13</v>
      </c>
      <c r="J291" s="21" t="s">
        <v>237</v>
      </c>
      <c r="K291" s="21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13012</v>
      </c>
      <c r="L291" s="21" t="s">
        <v>513</v>
      </c>
      <c r="M291" s="21">
        <v>19.957339399999999</v>
      </c>
      <c r="N291" s="21">
        <v>41.480678400000002</v>
      </c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3"/>
    </row>
    <row r="292" spans="2:29" x14ac:dyDescent="0.45">
      <c r="B292" s="23"/>
      <c r="C292" s="20"/>
      <c r="D292" s="20"/>
      <c r="E292" s="20"/>
      <c r="F292" s="20"/>
      <c r="G292" s="20"/>
      <c r="H292" s="20"/>
      <c r="I292" s="21">
        <f>_xlfn.XLOOKUP(Saudi_Regions_Cities[[#This Row],[المنطقة الإدارية]],Saudi_Regions[المنطقة الإدارية],Saudi_Regions[رمز المنطقة الإدارية],"")</f>
        <v>13</v>
      </c>
      <c r="J292" s="21" t="s">
        <v>237</v>
      </c>
      <c r="K292" s="21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13013</v>
      </c>
      <c r="L292" s="21" t="s">
        <v>514</v>
      </c>
      <c r="M292" s="21">
        <v>20.0054385</v>
      </c>
      <c r="N292" s="21">
        <v>41.468625199999998</v>
      </c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3"/>
    </row>
    <row r="293" spans="2:29" x14ac:dyDescent="0.45">
      <c r="B293" s="23"/>
      <c r="C293" s="20"/>
      <c r="D293" s="20"/>
      <c r="E293" s="20"/>
      <c r="F293" s="20"/>
      <c r="G293" s="20"/>
      <c r="H293" s="20"/>
      <c r="I293" s="21">
        <f>_xlfn.XLOOKUP(Saudi_Regions_Cities[[#This Row],[المنطقة الإدارية]],Saudi_Regions[المنطقة الإدارية],Saudi_Regions[رمز المنطقة الإدارية],"")</f>
        <v>13</v>
      </c>
      <c r="J293" s="21" t="s">
        <v>237</v>
      </c>
      <c r="K293" s="21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13014</v>
      </c>
      <c r="L293" s="21" t="s">
        <v>515</v>
      </c>
      <c r="M293" s="21">
        <v>19.632134400000002</v>
      </c>
      <c r="N293" s="21">
        <v>41.290165999999999</v>
      </c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3"/>
    </row>
    <row r="294" spans="2:29" x14ac:dyDescent="0.45">
      <c r="B294" s="23"/>
      <c r="C294" s="20"/>
      <c r="D294" s="20"/>
      <c r="E294" s="20"/>
      <c r="F294" s="20"/>
      <c r="G294" s="20"/>
      <c r="H294" s="20"/>
      <c r="I294" s="21">
        <f>_xlfn.XLOOKUP(Saudi_Regions_Cities[[#This Row],[المنطقة الإدارية]],Saudi_Regions[المنطقة الإدارية],Saudi_Regions[رمز المنطقة الإدارية],"")</f>
        <v>13</v>
      </c>
      <c r="J294" s="21" t="s">
        <v>237</v>
      </c>
      <c r="K294" s="21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13015</v>
      </c>
      <c r="L294" s="21" t="s">
        <v>516</v>
      </c>
      <c r="M294" s="21">
        <v>20.0487447</v>
      </c>
      <c r="N294" s="21">
        <v>41.415120399999999</v>
      </c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3"/>
    </row>
    <row r="295" spans="2:29" x14ac:dyDescent="0.45">
      <c r="B295" s="23"/>
      <c r="C295" s="20"/>
      <c r="D295" s="20"/>
      <c r="E295" s="20"/>
      <c r="F295" s="20"/>
      <c r="G295" s="20"/>
      <c r="H295" s="20"/>
      <c r="I295" s="21">
        <f>_xlfn.XLOOKUP(Saudi_Regions_Cities[[#This Row],[المنطقة الإدارية]],Saudi_Regions[المنطقة الإدارية],Saudi_Regions[رمز المنطقة الإدارية],"")</f>
        <v>5</v>
      </c>
      <c r="J295" s="21" t="s">
        <v>229</v>
      </c>
      <c r="K295" s="21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5021</v>
      </c>
      <c r="L295" s="21" t="s">
        <v>517</v>
      </c>
      <c r="M295" s="21">
        <v>18.119302399999999</v>
      </c>
      <c r="N295" s="21">
        <v>41.742697800000002</v>
      </c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3"/>
    </row>
    <row r="296" spans="2:29" x14ac:dyDescent="0.45">
      <c r="B296" s="23"/>
      <c r="C296" s="20"/>
      <c r="D296" s="20"/>
      <c r="E296" s="20"/>
      <c r="F296" s="20"/>
      <c r="G296" s="20"/>
      <c r="H296" s="20"/>
      <c r="I296" s="21">
        <f>_xlfn.XLOOKUP(Saudi_Regions_Cities[[#This Row],[المنطقة الإدارية]],Saudi_Regions[المنطقة الإدارية],Saudi_Regions[رمز المنطقة الإدارية],"")</f>
        <v>13</v>
      </c>
      <c r="J296" s="21" t="s">
        <v>237</v>
      </c>
      <c r="K296" s="21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13016</v>
      </c>
      <c r="L296" s="21" t="s">
        <v>518</v>
      </c>
      <c r="M296" s="21">
        <v>20.0998859</v>
      </c>
      <c r="N296" s="21">
        <v>41.275695900000002</v>
      </c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3"/>
    </row>
    <row r="297" spans="2:29" x14ac:dyDescent="0.45">
      <c r="B297" s="23"/>
      <c r="C297" s="20"/>
      <c r="D297" s="20"/>
      <c r="E297" s="20"/>
      <c r="F297" s="20"/>
      <c r="G297" s="20"/>
      <c r="H297" s="20"/>
      <c r="I297" s="21">
        <f>_xlfn.XLOOKUP(Saudi_Regions_Cities[[#This Row],[المنطقة الإدارية]],Saudi_Regions[المنطقة الإدارية],Saudi_Regions[رمز المنطقة الإدارية],"")</f>
        <v>5</v>
      </c>
      <c r="J297" s="21" t="s">
        <v>229</v>
      </c>
      <c r="K297" s="21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5022</v>
      </c>
      <c r="L297" s="21" t="s">
        <v>519</v>
      </c>
      <c r="M297" s="21">
        <v>18.930216300000001</v>
      </c>
      <c r="N297" s="21">
        <v>41.852455599999999</v>
      </c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3"/>
    </row>
    <row r="298" spans="2:29" x14ac:dyDescent="0.45">
      <c r="B298" s="23"/>
      <c r="C298" s="20"/>
      <c r="D298" s="20"/>
      <c r="E298" s="20"/>
      <c r="F298" s="20"/>
      <c r="G298" s="20"/>
      <c r="H298" s="20"/>
      <c r="I298" s="21">
        <f>_xlfn.XLOOKUP(Saudi_Regions_Cities[[#This Row],[المنطقة الإدارية]],Saudi_Regions[المنطقة الإدارية],Saudi_Regions[رمز المنطقة الإدارية],"")</f>
        <v>3</v>
      </c>
      <c r="J298" s="21" t="s">
        <v>227</v>
      </c>
      <c r="K298" s="21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3066</v>
      </c>
      <c r="L298" s="21" t="s">
        <v>520</v>
      </c>
      <c r="M298" s="21">
        <v>25.600213100000001</v>
      </c>
      <c r="N298" s="21">
        <v>49.580891399999999</v>
      </c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3"/>
    </row>
    <row r="299" spans="2:29" x14ac:dyDescent="0.45">
      <c r="B299" s="23"/>
      <c r="C299" s="20"/>
      <c r="D299" s="20"/>
      <c r="E299" s="20"/>
      <c r="F299" s="20"/>
      <c r="G299" s="20"/>
      <c r="H299" s="20"/>
      <c r="I299" s="21">
        <f>_xlfn.XLOOKUP(Saudi_Regions_Cities[[#This Row],[المنطقة الإدارية]],Saudi_Regions[المنطقة الإدارية],Saudi_Regions[رمز المنطقة الإدارية],"")</f>
        <v>6</v>
      </c>
      <c r="J299" s="21" t="s">
        <v>230</v>
      </c>
      <c r="K299" s="21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6036</v>
      </c>
      <c r="L299" s="21" t="s">
        <v>141</v>
      </c>
      <c r="M299" s="21">
        <v>17.6142641</v>
      </c>
      <c r="N299" s="21">
        <v>42.807905400000003</v>
      </c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3"/>
    </row>
    <row r="300" spans="2:29" x14ac:dyDescent="0.45">
      <c r="B300" s="23"/>
      <c r="C300" s="20"/>
      <c r="D300" s="20"/>
      <c r="E300" s="20"/>
      <c r="F300" s="20"/>
      <c r="G300" s="20"/>
      <c r="H300" s="20"/>
      <c r="I300" s="21">
        <f>_xlfn.XLOOKUP(Saudi_Regions_Cities[[#This Row],[المنطقة الإدارية]],Saudi_Regions[المنطقة الإدارية],Saudi_Regions[رمز المنطقة الإدارية],"")</f>
        <v>3</v>
      </c>
      <c r="J300" s="21" t="s">
        <v>227</v>
      </c>
      <c r="K300" s="21">
        <f>VALUE(TEXT(Saudi_Regions_Cities[[#This Row],[رمز المنطقة الإدارية]],"00")
&amp;TEXT(COUNTIF(INDEX(Saudi_Regions_Cities[المنطقة الإدارية],1):INDEX(Saudi_Regions_Cities[المنطقة الإدارية],ROW()-ROW(Saudi_Regions_Cities[[#Headers],[المنطقة الإدارية]])),Saudi_Regions_Cities[[#This Row],[المنطقة الإدارية]]),"000"))</f>
        <v>3067</v>
      </c>
      <c r="L300" s="21" t="s">
        <v>150</v>
      </c>
      <c r="M300" s="21">
        <v>26.077368</v>
      </c>
      <c r="N300" s="21">
        <v>49.447059600000003</v>
      </c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3"/>
    </row>
    <row r="301" spans="2:29" x14ac:dyDescent="0.45">
      <c r="B301" s="23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3"/>
    </row>
  </sheetData>
  <sheetProtection formatCells="0" formatColumns="0" formatRows="0" insertColumns="0" insertRows="0" insertHyperlinks="0" deleteColumns="0" deleteRows="0" sort="0" autoFilter="0" pivotTables="0"/>
  <mergeCells count="6">
    <mergeCell ref="C4:AB4"/>
    <mergeCell ref="C6:G6"/>
    <mergeCell ref="I6:N6"/>
    <mergeCell ref="P6:AB6"/>
    <mergeCell ref="AA3:AB3"/>
    <mergeCell ref="C3:D3"/>
  </mergeCells>
  <conditionalFormatting sqref="C8:G20 I8:N300 P8:AB72">
    <cfRule type="expression" dxfId="25" priority="2">
      <formula>_xlfn.ISFORMULA(C8)=TRUE</formula>
    </cfRule>
  </conditionalFormatting>
  <conditionalFormatting sqref="C8:G20 I8:N300">
    <cfRule type="containsBlanks" dxfId="24" priority="1">
      <formula>LEN(TRIM(C8))=0</formula>
    </cfRule>
  </conditionalFormatting>
  <conditionalFormatting sqref="P8:AB72">
    <cfRule type="containsBlanks" dxfId="23" priority="3">
      <formula>LEN(TRIM(P8))=0</formula>
    </cfRule>
  </conditionalFormatting>
  <dataValidations count="2">
    <dataValidation type="list" allowBlank="1" showInputMessage="1" showErrorMessage="1" sqref="E8:E20" xr:uid="{1D8F0478-A3E2-4FC1-8704-EF61D885C4B5}">
      <formula1>INDIRECT("Saudi_Regions_Cities[المدينة]")</formula1>
    </dataValidation>
    <dataValidation type="list" allowBlank="1" showInputMessage="1" showErrorMessage="1" sqref="P7:AB7 J8:J300" xr:uid="{DA7E6C2B-6E73-4123-A1AD-CBCD652A939F}">
      <formula1>INDIRECT("Saudi_Regions[المنطقة الإدارية]")</formula1>
    </dataValidation>
  </dataValidations>
  <printOptions horizontalCentered="1"/>
  <pageMargins left="0" right="0" top="0.2" bottom="0.2" header="0" footer="0"/>
  <pageSetup paperSize="9" scale="11" fitToHeight="0" orientation="portrait" r:id="rId1"/>
  <headerFooter differentFirst="1">
    <oddFooter>&amp;C&amp;"Frutiger LT Arabic 45 Light,Regular"&amp;12&amp;K000000صفحة &amp;P من &amp;N</oddFooter>
  </headerFooter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39E1C-E6E7-44F2-917B-A329BDBCA9BB}">
  <sheetPr codeName="Sheet4">
    <tabColor theme="0" tint="-0.14999847407452621"/>
    <pageSetUpPr fitToPage="1"/>
  </sheetPr>
  <dimension ref="B1:X176"/>
  <sheetViews>
    <sheetView showGridLines="0" rightToLeft="1" zoomScale="85" zoomScaleNormal="85" zoomScaleSheetLayoutView="30" workbookViewId="0">
      <selection activeCell="G13" sqref="G13"/>
    </sheetView>
  </sheetViews>
  <sheetFormatPr defaultColWidth="2.44140625" defaultRowHeight="32.25" x14ac:dyDescent="0.45"/>
  <cols>
    <col min="1" max="1" width="2.44140625" style="2"/>
    <col min="2" max="2" width="2.21875" style="19" customWidth="1"/>
    <col min="3" max="3" width="22.44140625" style="20" customWidth="1"/>
    <col min="4" max="4" width="18.44140625" style="20" bestFit="1" customWidth="1"/>
    <col min="5" max="5" width="15" style="20" bestFit="1" customWidth="1"/>
    <col min="6" max="6" width="2.44140625" style="19" customWidth="1"/>
    <col min="7" max="7" width="30.44140625" style="19" bestFit="1" customWidth="1"/>
    <col min="8" max="8" width="2.44140625" style="19" customWidth="1"/>
    <col min="9" max="9" width="73.44140625" style="19" bestFit="1" customWidth="1"/>
    <col min="10" max="10" width="19.21875" style="19" bestFit="1" customWidth="1"/>
    <col min="11" max="11" width="22.88671875" style="19" bestFit="1" customWidth="1"/>
    <col min="12" max="12" width="31.44140625" style="19" bestFit="1" customWidth="1"/>
    <col min="13" max="13" width="15.44140625" style="19" bestFit="1" customWidth="1"/>
    <col min="14" max="14" width="24.44140625" style="19" bestFit="1" customWidth="1"/>
    <col min="15" max="15" width="23.109375" style="19" bestFit="1" customWidth="1"/>
    <col min="16" max="16" width="25.109375" style="19" bestFit="1" customWidth="1"/>
    <col min="17" max="17" width="34.21875" style="19" bestFit="1" customWidth="1"/>
    <col min="18" max="18" width="33.6640625" style="19" bestFit="1" customWidth="1"/>
    <col min="19" max="19" width="21.77734375" style="19" bestFit="1" customWidth="1"/>
    <col min="20" max="20" width="2.44140625" style="19" customWidth="1"/>
    <col min="21" max="21" width="2.44140625" style="2"/>
    <col min="22" max="22" width="2.44140625" style="2" customWidth="1"/>
    <col min="23" max="23" width="24.44140625" style="2" bestFit="1" customWidth="1"/>
    <col min="24" max="24" width="2.44140625" style="2" customWidth="1"/>
    <col min="25" max="16384" width="2.44140625" style="2"/>
  </cols>
  <sheetData>
    <row r="1" spans="2:24" x14ac:dyDescent="0.45">
      <c r="B1" s="2"/>
      <c r="C1" s="7"/>
      <c r="D1" s="7"/>
      <c r="E1" s="7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2:24" s="10" customFormat="1" x14ac:dyDescent="0.4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2:24" s="10" customFormat="1" ht="75.75" x14ac:dyDescent="0.45">
      <c r="B3" s="1"/>
      <c r="C3" s="191" t="e" vm="1">
        <v>#VALUE!</v>
      </c>
      <c r="D3" s="191"/>
      <c r="E3" s="19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97" t="e" vm="2">
        <v>#VALUE!</v>
      </c>
      <c r="S3" s="197"/>
      <c r="T3" s="1"/>
    </row>
    <row r="4" spans="2:24" s="10" customFormat="1" x14ac:dyDescent="0.45">
      <c r="B4" s="1"/>
      <c r="C4" s="14"/>
      <c r="D4" s="14"/>
      <c r="E4" s="1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2:24" s="10" customFormat="1" ht="75.75" x14ac:dyDescent="0.45">
      <c r="B5" s="1"/>
      <c r="C5" s="199" t="s">
        <v>521</v>
      </c>
      <c r="D5" s="199"/>
      <c r="E5" s="199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2:24" s="10" customFormat="1" x14ac:dyDescent="0.4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2:24" s="10" customFormat="1" ht="44.25" x14ac:dyDescent="0.45">
      <c r="B7" s="1"/>
      <c r="C7" s="198" t="s">
        <v>522</v>
      </c>
      <c r="D7" s="198"/>
      <c r="E7" s="198"/>
      <c r="F7" s="1"/>
      <c r="G7" s="25" t="s">
        <v>523</v>
      </c>
      <c r="H7" s="1"/>
      <c r="I7" s="198" t="s">
        <v>524</v>
      </c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"/>
      <c r="V7" s="11"/>
      <c r="W7" s="11"/>
      <c r="X7" s="11"/>
    </row>
    <row r="8" spans="2:24" s="10" customFormat="1" ht="64.5" x14ac:dyDescent="0.45">
      <c r="B8" s="1"/>
      <c r="C8" s="26" t="s">
        <v>24</v>
      </c>
      <c r="D8" s="26" t="s">
        <v>25</v>
      </c>
      <c r="E8" s="26" t="s">
        <v>525</v>
      </c>
      <c r="F8" s="13"/>
      <c r="G8" s="26" t="s">
        <v>526</v>
      </c>
      <c r="H8" s="13"/>
      <c r="I8" s="18" t="s">
        <v>27</v>
      </c>
      <c r="J8" s="177" t="s">
        <v>526</v>
      </c>
      <c r="K8" s="18" t="s">
        <v>9</v>
      </c>
      <c r="L8" s="18" t="s">
        <v>10</v>
      </c>
      <c r="M8" s="180" t="s">
        <v>45</v>
      </c>
      <c r="N8" s="181" t="s">
        <v>46</v>
      </c>
      <c r="O8" s="18" t="s">
        <v>12</v>
      </c>
      <c r="P8" s="180" t="s">
        <v>13</v>
      </c>
      <c r="Q8" s="18" t="s">
        <v>14</v>
      </c>
      <c r="R8" s="181" t="s">
        <v>15</v>
      </c>
      <c r="S8" s="18" t="s">
        <v>16</v>
      </c>
      <c r="T8" s="13"/>
      <c r="V8" s="11"/>
      <c r="W8" s="8" t="s">
        <v>18</v>
      </c>
      <c r="X8" s="11"/>
    </row>
    <row r="9" spans="2:24" s="10" customFormat="1" x14ac:dyDescent="0.45">
      <c r="B9" s="1"/>
      <c r="C9" s="27">
        <f>ROW()-ROW(Facility_Classifications[[#Headers],[رمز تصنيف المرفق]])</f>
        <v>1</v>
      </c>
      <c r="D9" s="27" t="s">
        <v>72</v>
      </c>
      <c r="E9" s="27">
        <f>COUNTIF(Facilities_Masjids[تصنيف المرفق],Facility_Classifications[[#This Row],[تصنيف المرفق]])</f>
        <v>15</v>
      </c>
      <c r="F9" s="13"/>
      <c r="G9" s="27" t="s">
        <v>527</v>
      </c>
      <c r="H9" s="13"/>
      <c r="I9" s="22" t="str" cm="1">
        <f t="array" ref="I9">IFERROR(
INDEX(Facilities_Masjids[اسم المرفق],
ROUNDUP((ROW()-ROW(Facilities_Masjids_By_Gender[[#Headers],[اسم المرفق]]))/COUNTA(Gender[جنس المستفيد]),0)),
"")</f>
        <v>جامع الشيخ علي بن إبراهيم المجدوعي بالدمام</v>
      </c>
      <c r="J9" s="178" t="str" cm="1">
        <f t="array" ref="J9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الرجال</v>
      </c>
      <c r="K9" s="24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23</v>
      </c>
      <c r="L9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3216</v>
      </c>
      <c r="M9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10</v>
      </c>
      <c r="N9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9" s="24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30</v>
      </c>
      <c r="P9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2598</v>
      </c>
      <c r="Q9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45</v>
      </c>
      <c r="R9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110</v>
      </c>
      <c r="S9" s="24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57</v>
      </c>
      <c r="T9" s="13"/>
      <c r="V9" s="11"/>
      <c r="W9" s="9" t="s">
        <v>69</v>
      </c>
      <c r="X9" s="11"/>
    </row>
    <row r="10" spans="2:24" s="10" customFormat="1" x14ac:dyDescent="0.45">
      <c r="B10" s="1"/>
      <c r="C10" s="27">
        <f>ROW()-ROW(Facility_Classifications[[#Headers],[رمز تصنيف المرفق]])</f>
        <v>2</v>
      </c>
      <c r="D10" s="27" t="s">
        <v>94</v>
      </c>
      <c r="E10" s="27">
        <f>COUNTIF(Facilities_Masjids[تصنيف المرفق],Facility_Classifications[[#This Row],[تصنيف المرفق]])</f>
        <v>11</v>
      </c>
      <c r="F10" s="1"/>
      <c r="G10" s="27" t="s">
        <v>528</v>
      </c>
      <c r="H10" s="1"/>
      <c r="I10" s="22" t="str" cm="1">
        <f t="array" ref="I10">IFERROR(
INDEX(Facilities_Masjids[اسم المرفق],
ROUNDUP((ROW()-ROW(Facilities_Masjids_By_Gender[[#Headers],[اسم المرفق]]))/COUNTA(Gender[جنس المستفيد]),0)),
"")</f>
        <v>جامع الشيخ علي بن إبراهيم المجدوعي بالدمام</v>
      </c>
      <c r="J10" s="178" t="str" cm="1">
        <f t="array" ref="J10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النساء</v>
      </c>
      <c r="K10" s="24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4</v>
      </c>
      <c r="L10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344</v>
      </c>
      <c r="M10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3</v>
      </c>
      <c r="N10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10" s="24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5</v>
      </c>
      <c r="P10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62</v>
      </c>
      <c r="Q10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1</v>
      </c>
      <c r="R10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1</v>
      </c>
      <c r="S10" s="24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1</v>
      </c>
      <c r="T10" s="1"/>
      <c r="V10" s="11"/>
      <c r="W10" s="12" t="s">
        <v>76</v>
      </c>
      <c r="X10" s="11"/>
    </row>
    <row r="11" spans="2:24" x14ac:dyDescent="0.45">
      <c r="B11" s="3"/>
      <c r="C11" s="27">
        <f>ROW()-ROW(Facility_Classifications[[#Headers],[رمز تصنيف المرفق]])</f>
        <v>3</v>
      </c>
      <c r="D11" s="27" t="s">
        <v>133</v>
      </c>
      <c r="E11" s="27">
        <f>COUNTIF(Facilities_Masjids[تصنيف المرفق],Facility_Classifications[[#This Row],[تصنيف المرفق]])</f>
        <v>6</v>
      </c>
      <c r="F11" s="3"/>
      <c r="G11" s="3"/>
      <c r="H11" s="3"/>
      <c r="I11" s="22" t="str" cm="1">
        <f t="array" ref="I11">IFERROR(
INDEX(Facilities_Masjids[اسم المرفق],
ROUNDUP((ROW()-ROW(Facilities_Masjids_By_Gender[[#Headers],[اسم المرفق]]))/COUNTA(Gender[جنس المستفيد]),0)),
"")</f>
        <v>جامع الشيخ صالح بن عبد الله المجدوعي بالدمام</v>
      </c>
      <c r="J11" s="178" t="str" cm="1">
        <f t="array" ref="J11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الرجال</v>
      </c>
      <c r="K11" s="24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11</v>
      </c>
      <c r="L11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780</v>
      </c>
      <c r="M11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4</v>
      </c>
      <c r="N11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1</v>
      </c>
      <c r="O11" s="24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13</v>
      </c>
      <c r="P11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160</v>
      </c>
      <c r="Q11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15</v>
      </c>
      <c r="R11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10</v>
      </c>
      <c r="S11" s="24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21</v>
      </c>
      <c r="T11" s="3"/>
      <c r="U11" s="7"/>
      <c r="V11" s="11"/>
      <c r="W11" s="17" t="s">
        <v>81</v>
      </c>
      <c r="X11" s="11"/>
    </row>
    <row r="12" spans="2:24" x14ac:dyDescent="0.45">
      <c r="B12" s="3"/>
      <c r="C12" s="27">
        <f>ROW()-ROW(Facility_Classifications[[#Headers],[رمز تصنيف المرفق]])</f>
        <v>4</v>
      </c>
      <c r="D12" s="27" t="s">
        <v>155</v>
      </c>
      <c r="E12" s="27">
        <f>COUNTIF(Facilities_Masjids[تصنيف المرفق],Facility_Classifications[[#This Row],[تصنيف المرفق]])</f>
        <v>3</v>
      </c>
      <c r="F12" s="3"/>
      <c r="G12" s="3"/>
      <c r="H12" s="3"/>
      <c r="I12" s="22" t="str" cm="1">
        <f t="array" ref="I12">IFERROR(
INDEX(Facilities_Masjids[اسم المرفق],
ROUNDUP((ROW()-ROW(Facilities_Masjids_By_Gender[[#Headers],[اسم المرفق]]))/COUNTA(Gender[جنس المستفيد]),0)),
"")</f>
        <v>جامع الشيخ صالح بن عبد الله المجدوعي بالدمام</v>
      </c>
      <c r="J12" s="178" t="str" cm="1">
        <f t="array" ref="J12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النساء</v>
      </c>
      <c r="K12" s="24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4</v>
      </c>
      <c r="L12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50</v>
      </c>
      <c r="M12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2</v>
      </c>
      <c r="N12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12" s="24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2</v>
      </c>
      <c r="P12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8</v>
      </c>
      <c r="Q12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1</v>
      </c>
      <c r="R12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2</v>
      </c>
      <c r="S12" s="24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3</v>
      </c>
      <c r="T12" s="3"/>
      <c r="U12" s="7"/>
      <c r="V12" s="11"/>
      <c r="W12" s="16" t="s">
        <v>86</v>
      </c>
      <c r="X12" s="11"/>
    </row>
    <row r="13" spans="2:24" s="7" customFormat="1" x14ac:dyDescent="0.45">
      <c r="B13" s="3"/>
      <c r="C13" s="21">
        <f>ROW()-ROW(Facility_Classifications[[#Headers],[رمز تصنيف المرفق]])</f>
        <v>5</v>
      </c>
      <c r="D13" s="21" t="s">
        <v>127</v>
      </c>
      <c r="E13" s="21">
        <f>COUNTIF(Facilities_Masjids[تصنيف المرفق],Facility_Classifications[[#This Row],[تصنيف المرفق]])</f>
        <v>1</v>
      </c>
      <c r="F13" s="3"/>
      <c r="G13" s="3"/>
      <c r="H13" s="3"/>
      <c r="I13" s="22" t="str" cm="1">
        <f t="array" ref="I13">IFERROR(
INDEX(Facilities_Masjids[اسم المرفق],
ROUNDUP((ROW()-ROW(Facilities_Masjids_By_Gender[[#Headers],[اسم المرفق]]))/COUNTA(Gender[جنس المستفيد]),0)),
"")</f>
        <v>جامع أم عبد الله المجدوعي بالدمام</v>
      </c>
      <c r="J13" s="178" t="str" cm="1">
        <f t="array" ref="J13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الرجال</v>
      </c>
      <c r="K13" s="24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12</v>
      </c>
      <c r="L13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768</v>
      </c>
      <c r="M13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6</v>
      </c>
      <c r="N13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13" s="24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12</v>
      </c>
      <c r="P13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387</v>
      </c>
      <c r="Q13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28</v>
      </c>
      <c r="R13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10</v>
      </c>
      <c r="S13" s="24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25</v>
      </c>
      <c r="T13" s="3"/>
      <c r="V13" s="11"/>
      <c r="W13" s="11"/>
      <c r="X13" s="11"/>
    </row>
    <row r="14" spans="2:24" x14ac:dyDescent="0.45">
      <c r="B14" s="3"/>
      <c r="C14" s="15"/>
      <c r="D14" s="15"/>
      <c r="E14" s="15"/>
      <c r="F14" s="3"/>
      <c r="G14" s="3"/>
      <c r="H14" s="3"/>
      <c r="I14" s="22" t="str" cm="1">
        <f t="array" ref="I14">IFERROR(
INDEX(Facilities_Masjids[اسم المرفق],
ROUNDUP((ROW()-ROW(Facilities_Masjids_By_Gender[[#Headers],[اسم المرفق]]))/COUNTA(Gender[جنس المستفيد]),0)),
"")</f>
        <v>جامع أم عبد الله المجدوعي بالدمام</v>
      </c>
      <c r="J14" s="178" t="str" cm="1">
        <f t="array" ref="J14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النساء</v>
      </c>
      <c r="K14" s="24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4</v>
      </c>
      <c r="L14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106</v>
      </c>
      <c r="M14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2</v>
      </c>
      <c r="N14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14" s="24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4</v>
      </c>
      <c r="P14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38</v>
      </c>
      <c r="Q14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2</v>
      </c>
      <c r="R14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1</v>
      </c>
      <c r="S14" s="24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9</v>
      </c>
      <c r="T14" s="3"/>
      <c r="U14" s="7"/>
      <c r="W14" s="7"/>
    </row>
    <row r="15" spans="2:24" x14ac:dyDescent="0.45">
      <c r="B15" s="3"/>
      <c r="C15" s="15"/>
      <c r="D15" s="15"/>
      <c r="E15" s="15"/>
      <c r="F15" s="3"/>
      <c r="G15" s="3"/>
      <c r="H15" s="3"/>
      <c r="I15" s="22" t="str" cm="1">
        <f t="array" ref="I15">IFERROR(
INDEX(Facilities_Masjids[اسم المرفق],
ROUNDUP((ROW()-ROW(Facilities_Masjids_By_Gender[[#Headers],[اسم المرفق]]))/COUNTA(Gender[جنس المستفيد]),0)),
"")</f>
        <v>جامع فكرة بنت سعيد المجدوعي بمكة المكرمة</v>
      </c>
      <c r="J15" s="178" t="str" cm="1">
        <f t="array" ref="J15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الرجال</v>
      </c>
      <c r="K15" s="24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20</v>
      </c>
      <c r="L15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1925</v>
      </c>
      <c r="M15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7</v>
      </c>
      <c r="N15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15" s="24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30</v>
      </c>
      <c r="P15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353</v>
      </c>
      <c r="Q15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22</v>
      </c>
      <c r="R15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35</v>
      </c>
      <c r="S15" s="24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12</v>
      </c>
      <c r="T15" s="3"/>
      <c r="U15" s="7"/>
    </row>
    <row r="16" spans="2:24" x14ac:dyDescent="0.45">
      <c r="B16" s="3"/>
      <c r="C16" s="15"/>
      <c r="D16" s="15"/>
      <c r="E16" s="15"/>
      <c r="F16" s="3"/>
      <c r="G16" s="3"/>
      <c r="H16" s="3"/>
      <c r="I16" s="22" t="str" cm="1">
        <f t="array" ref="I16">IFERROR(
INDEX(Facilities_Masjids[اسم المرفق],
ROUNDUP((ROW()-ROW(Facilities_Masjids_By_Gender[[#Headers],[اسم المرفق]]))/COUNTA(Gender[جنس المستفيد]),0)),
"")</f>
        <v>جامع فكرة بنت سعيد المجدوعي بمكة المكرمة</v>
      </c>
      <c r="J16" s="178" t="str" cm="1">
        <f t="array" ref="J16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النساء</v>
      </c>
      <c r="K16" s="24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5</v>
      </c>
      <c r="L16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110</v>
      </c>
      <c r="M16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4</v>
      </c>
      <c r="N16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16" s="24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5</v>
      </c>
      <c r="P16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30</v>
      </c>
      <c r="Q16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2</v>
      </c>
      <c r="R16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2</v>
      </c>
      <c r="S16" s="24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1</v>
      </c>
      <c r="T16" s="3"/>
      <c r="U16" s="7"/>
    </row>
    <row r="17" spans="2:21" x14ac:dyDescent="0.45">
      <c r="B17" s="3"/>
      <c r="C17" s="15"/>
      <c r="D17" s="15"/>
      <c r="E17" s="15"/>
      <c r="F17" s="3"/>
      <c r="G17" s="3"/>
      <c r="H17" s="3"/>
      <c r="I17" s="22" t="str" cm="1">
        <f t="array" ref="I17">IFERROR(
INDEX(Facilities_Masjids[اسم المرفق],
ROUNDUP((ROW()-ROW(Facilities_Masjids_By_Gender[[#Headers],[اسم المرفق]]))/COUNTA(Gender[جنس المستفيد]),0)),
"")</f>
        <v>مسجد والدة إبراهيم المجدوعي بالخبر</v>
      </c>
      <c r="J17" s="178" t="str" cm="1">
        <f t="array" ref="J17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الرجال</v>
      </c>
      <c r="K17" s="24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12</v>
      </c>
      <c r="L17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516</v>
      </c>
      <c r="M17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7</v>
      </c>
      <c r="N17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17" s="24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7</v>
      </c>
      <c r="P17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315</v>
      </c>
      <c r="Q17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22</v>
      </c>
      <c r="R17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23</v>
      </c>
      <c r="S17" s="24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9</v>
      </c>
      <c r="T17" s="3"/>
      <c r="U17" s="7"/>
    </row>
    <row r="18" spans="2:21" x14ac:dyDescent="0.45">
      <c r="B18" s="3"/>
      <c r="C18" s="15"/>
      <c r="D18" s="15"/>
      <c r="E18" s="15"/>
      <c r="F18" s="3"/>
      <c r="G18" s="3"/>
      <c r="H18" s="3"/>
      <c r="I18" s="22" t="str" cm="1">
        <f t="array" ref="I18">IFERROR(
INDEX(Facilities_Masjids[اسم المرفق],
ROUNDUP((ROW()-ROW(Facilities_Masjids_By_Gender[[#Headers],[اسم المرفق]]))/COUNTA(Gender[جنس المستفيد]),0)),
"")</f>
        <v>مسجد والدة إبراهيم المجدوعي بالخبر</v>
      </c>
      <c r="J18" s="178" t="str" cm="1">
        <f t="array" ref="J18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النساء</v>
      </c>
      <c r="K18" s="24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2</v>
      </c>
      <c r="L18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68</v>
      </c>
      <c r="M18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2</v>
      </c>
      <c r="N18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18" s="24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2</v>
      </c>
      <c r="P18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33</v>
      </c>
      <c r="Q18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6</v>
      </c>
      <c r="R18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13</v>
      </c>
      <c r="S18" s="24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7</v>
      </c>
      <c r="T18" s="3"/>
      <c r="U18" s="7"/>
    </row>
    <row r="19" spans="2:21" x14ac:dyDescent="0.45">
      <c r="B19" s="3"/>
      <c r="C19" s="15"/>
      <c r="D19" s="15"/>
      <c r="E19" s="15"/>
      <c r="F19" s="3"/>
      <c r="G19" s="3"/>
      <c r="H19" s="3"/>
      <c r="I19" s="22" t="str" cm="1">
        <f t="array" ref="I19">IFERROR(
INDEX(Facilities_Masjids[اسم المرفق],
ROUNDUP((ROW()-ROW(Facilities_Masjids_By_Gender[[#Headers],[اسم المرفق]]))/COUNTA(Gender[جنس المستفيد]),0)),
"")</f>
        <v>مسجد أم عمر المجدوعي بالدمام</v>
      </c>
      <c r="J19" s="178" t="str" cm="1">
        <f t="array" ref="J19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الرجال</v>
      </c>
      <c r="K19" s="24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7</v>
      </c>
      <c r="L19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182</v>
      </c>
      <c r="M19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6</v>
      </c>
      <c r="N19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19" s="24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10</v>
      </c>
      <c r="P19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433</v>
      </c>
      <c r="Q19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14</v>
      </c>
      <c r="R19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21</v>
      </c>
      <c r="S19" s="24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13</v>
      </c>
      <c r="T19" s="3"/>
      <c r="U19" s="7"/>
    </row>
    <row r="20" spans="2:21" x14ac:dyDescent="0.45">
      <c r="B20" s="3"/>
      <c r="C20" s="15"/>
      <c r="D20" s="15"/>
      <c r="E20" s="15"/>
      <c r="F20" s="3"/>
      <c r="G20" s="3"/>
      <c r="H20" s="3"/>
      <c r="I20" s="22" t="str" cm="1">
        <f t="array" ref="I20">IFERROR(
INDEX(Facilities_Masjids[اسم المرفق],
ROUNDUP((ROW()-ROW(Facilities_Masjids_By_Gender[[#Headers],[اسم المرفق]]))/COUNTA(Gender[جنس المستفيد]),0)),
"")</f>
        <v>مسجد أم عمر المجدوعي بالدمام</v>
      </c>
      <c r="J20" s="178" t="str" cm="1">
        <f t="array" ref="J20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النساء</v>
      </c>
      <c r="K20" s="24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0</v>
      </c>
      <c r="L20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0</v>
      </c>
      <c r="M20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0</v>
      </c>
      <c r="N20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20" s="24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0</v>
      </c>
      <c r="P20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0</v>
      </c>
      <c r="Q20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0</v>
      </c>
      <c r="R20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0</v>
      </c>
      <c r="S20" s="24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0</v>
      </c>
      <c r="T20" s="3"/>
      <c r="U20" s="7"/>
    </row>
    <row r="21" spans="2:21" x14ac:dyDescent="0.45">
      <c r="B21" s="3"/>
      <c r="C21" s="15"/>
      <c r="D21" s="15"/>
      <c r="E21" s="15"/>
      <c r="F21" s="3"/>
      <c r="G21" s="3"/>
      <c r="H21" s="3"/>
      <c r="I21" s="22" t="str" cm="1">
        <f t="array" ref="I21">IFERROR(
INDEX(Facilities_Masjids[اسم المرفق],
ROUNDUP((ROW()-ROW(Facilities_Masjids_By_Gender[[#Headers],[اسم المرفق]]))/COUNTA(Gender[جنس المستفيد]),0)),
"")</f>
        <v>مسجد الباقيات الصالحات بالدمام</v>
      </c>
      <c r="J21" s="178" t="str" cm="1">
        <f t="array" ref="J21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الرجال</v>
      </c>
      <c r="K21" s="24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7</v>
      </c>
      <c r="L21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350</v>
      </c>
      <c r="M21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4</v>
      </c>
      <c r="N21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21" s="24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12</v>
      </c>
      <c r="P21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210</v>
      </c>
      <c r="Q21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8</v>
      </c>
      <c r="R21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7</v>
      </c>
      <c r="S21" s="24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7</v>
      </c>
      <c r="T21" s="3"/>
      <c r="U21" s="7"/>
    </row>
    <row r="22" spans="2:21" x14ac:dyDescent="0.45">
      <c r="B22" s="3"/>
      <c r="C22" s="15"/>
      <c r="D22" s="15"/>
      <c r="E22" s="15"/>
      <c r="F22" s="3"/>
      <c r="G22" s="3"/>
      <c r="H22" s="3"/>
      <c r="I22" s="22" t="str" cm="1">
        <f t="array" ref="I22">IFERROR(
INDEX(Facilities_Masjids[اسم المرفق],
ROUNDUP((ROW()-ROW(Facilities_Masjids_By_Gender[[#Headers],[اسم المرفق]]))/COUNTA(Gender[جنس المستفيد]),0)),
"")</f>
        <v>مسجد الباقيات الصالحات بالدمام</v>
      </c>
      <c r="J22" s="178" t="str" cm="1">
        <f t="array" ref="J22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النساء</v>
      </c>
      <c r="K22" s="24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17</v>
      </c>
      <c r="L22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25</v>
      </c>
      <c r="M22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2</v>
      </c>
      <c r="N22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22" s="24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3</v>
      </c>
      <c r="P22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12</v>
      </c>
      <c r="Q22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1</v>
      </c>
      <c r="R22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2</v>
      </c>
      <c r="S22" s="24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1</v>
      </c>
      <c r="T22" s="3"/>
      <c r="U22" s="7"/>
    </row>
    <row r="23" spans="2:21" x14ac:dyDescent="0.45">
      <c r="B23" s="3"/>
      <c r="C23" s="15"/>
      <c r="D23" s="15"/>
      <c r="E23" s="15"/>
      <c r="F23" s="3"/>
      <c r="G23" s="3"/>
      <c r="H23" s="3"/>
      <c r="I23" s="22" t="str" cm="1">
        <f t="array" ref="I23">IFERROR(
INDEX(Facilities_Masjids[اسم المرفق],
ROUNDUP((ROW()-ROW(Facilities_Masjids_By_Gender[[#Headers],[اسم المرفق]]))/COUNTA(Gender[جنس المستفيد]),0)),
"")</f>
        <v>مسجد والدة مجدوع المجدوعي ببلجرشي</v>
      </c>
      <c r="J23" s="178" t="str" cm="1">
        <f t="array" ref="J23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الرجال</v>
      </c>
      <c r="K23" s="24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9</v>
      </c>
      <c r="L23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310</v>
      </c>
      <c r="M23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5</v>
      </c>
      <c r="N23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23" s="24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9</v>
      </c>
      <c r="P23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29</v>
      </c>
      <c r="Q23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10</v>
      </c>
      <c r="R23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2</v>
      </c>
      <c r="S23" s="24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1</v>
      </c>
      <c r="T23" s="3"/>
      <c r="U23" s="7"/>
    </row>
    <row r="24" spans="2:21" x14ac:dyDescent="0.45">
      <c r="B24" s="3"/>
      <c r="C24" s="15"/>
      <c r="D24" s="15"/>
      <c r="E24" s="15"/>
      <c r="F24" s="3"/>
      <c r="G24" s="3"/>
      <c r="H24" s="3"/>
      <c r="I24" s="22" t="str" cm="1">
        <f t="array" ref="I24">IFERROR(
INDEX(Facilities_Masjids[اسم المرفق],
ROUNDUP((ROW()-ROW(Facilities_Masjids_By_Gender[[#Headers],[اسم المرفق]]))/COUNTA(Gender[جنس المستفيد]),0)),
"")</f>
        <v>مسجد والدة مجدوع المجدوعي ببلجرشي</v>
      </c>
      <c r="J24" s="178" t="str" cm="1">
        <f t="array" ref="J24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النساء</v>
      </c>
      <c r="K24" s="24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4</v>
      </c>
      <c r="L24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140</v>
      </c>
      <c r="M24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2</v>
      </c>
      <c r="N24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24" s="24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3</v>
      </c>
      <c r="P24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9</v>
      </c>
      <c r="Q24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1</v>
      </c>
      <c r="R24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3</v>
      </c>
      <c r="S24" s="24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0</v>
      </c>
      <c r="T24" s="3"/>
      <c r="U24" s="7"/>
    </row>
    <row r="25" spans="2:21" x14ac:dyDescent="0.45">
      <c r="B25" s="3"/>
      <c r="C25" s="15"/>
      <c r="D25" s="15"/>
      <c r="E25" s="15"/>
      <c r="F25" s="3"/>
      <c r="G25" s="3"/>
      <c r="H25" s="3"/>
      <c r="I25" s="22" t="str" cm="1">
        <f t="array" ref="I25">IFERROR(
INDEX(Facilities_Masjids[اسم المرفق],
ROUNDUP((ROW()-ROW(Facilities_Masjids_By_Gender[[#Headers],[اسم المرفق]]))/COUNTA(Gender[جنس المستفيد]),0)),
"")</f>
        <v>جامع سعيد بن عبد الله المجدوعي بالدمام (المجمع السكني)</v>
      </c>
      <c r="J25" s="178" t="str" cm="1">
        <f t="array" ref="J25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الرجال</v>
      </c>
      <c r="K25" s="24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24</v>
      </c>
      <c r="L25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753</v>
      </c>
      <c r="M25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3</v>
      </c>
      <c r="N25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25" s="24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12</v>
      </c>
      <c r="P25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470</v>
      </c>
      <c r="Q25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8</v>
      </c>
      <c r="R25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17</v>
      </c>
      <c r="S25" s="24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7</v>
      </c>
      <c r="T25" s="3"/>
      <c r="U25" s="7"/>
    </row>
    <row r="26" spans="2:21" x14ac:dyDescent="0.45">
      <c r="B26" s="3"/>
      <c r="C26" s="15"/>
      <c r="D26" s="15"/>
      <c r="E26" s="15"/>
      <c r="F26" s="3"/>
      <c r="G26" s="3"/>
      <c r="H26" s="3"/>
      <c r="I26" s="22" t="str" cm="1">
        <f t="array" ref="I26">IFERROR(
INDEX(Facilities_Masjids[اسم المرفق],
ROUNDUP((ROW()-ROW(Facilities_Masjids_By_Gender[[#Headers],[اسم المرفق]]))/COUNTA(Gender[جنس المستفيد]),0)),
"")</f>
        <v>جامع سعيد بن عبد الله المجدوعي بالدمام (المجمع السكني)</v>
      </c>
      <c r="J26" s="178" t="str" cm="1">
        <f t="array" ref="J26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النساء</v>
      </c>
      <c r="K26" s="24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0</v>
      </c>
      <c r="L26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0</v>
      </c>
      <c r="M26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0</v>
      </c>
      <c r="N26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26" s="24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0</v>
      </c>
      <c r="P26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0</v>
      </c>
      <c r="Q26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0</v>
      </c>
      <c r="R26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0</v>
      </c>
      <c r="S26" s="24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0</v>
      </c>
      <c r="T26" s="3"/>
      <c r="U26" s="7"/>
    </row>
    <row r="27" spans="2:21" x14ac:dyDescent="0.45">
      <c r="B27" s="3"/>
      <c r="C27" s="15"/>
      <c r="D27" s="15"/>
      <c r="E27" s="15"/>
      <c r="F27" s="3"/>
      <c r="G27" s="4"/>
      <c r="H27" s="3"/>
      <c r="I27" s="22" t="str" cm="1">
        <f t="array" ref="I27">IFERROR(
INDEX(Facilities_Masjids[اسم المرفق],
ROUNDUP((ROW()-ROW(Facilities_Masjids_By_Gender[[#Headers],[اسم المرفق]]))/COUNTA(Gender[جنس المستفيد]),0)),
"")</f>
        <v>مسجد مجمع المجدوعي السكني بالدمام</v>
      </c>
      <c r="J27" s="178" t="str" cm="1">
        <f t="array" ref="J27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الرجال</v>
      </c>
      <c r="K27" s="24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5</v>
      </c>
      <c r="L27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70</v>
      </c>
      <c r="M27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4</v>
      </c>
      <c r="N27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27" s="24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8</v>
      </c>
      <c r="P27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25</v>
      </c>
      <c r="Q27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0</v>
      </c>
      <c r="R27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2</v>
      </c>
      <c r="S27" s="24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0</v>
      </c>
      <c r="T27" s="3"/>
      <c r="U27" s="7"/>
    </row>
    <row r="28" spans="2:21" x14ac:dyDescent="0.45">
      <c r="B28" s="3"/>
      <c r="C28" s="15"/>
      <c r="D28" s="15"/>
      <c r="E28" s="15"/>
      <c r="F28" s="3"/>
      <c r="G28" s="4"/>
      <c r="H28" s="3"/>
      <c r="I28" s="22" t="str" cm="1">
        <f t="array" ref="I28">IFERROR(
INDEX(Facilities_Masjids[اسم المرفق],
ROUNDUP((ROW()-ROW(Facilities_Masjids_By_Gender[[#Headers],[اسم المرفق]]))/COUNTA(Gender[جنس المستفيد]),0)),
"")</f>
        <v>مسجد مجمع المجدوعي السكني بالدمام</v>
      </c>
      <c r="J28" s="178" t="str" cm="1">
        <f t="array" ref="J28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النساء</v>
      </c>
      <c r="K28" s="24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0</v>
      </c>
      <c r="L28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0</v>
      </c>
      <c r="M28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0</v>
      </c>
      <c r="N28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28" s="24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0</v>
      </c>
      <c r="P28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0</v>
      </c>
      <c r="Q28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0</v>
      </c>
      <c r="R28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0</v>
      </c>
      <c r="S28" s="24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0</v>
      </c>
      <c r="T28" s="3"/>
      <c r="U28" s="7"/>
    </row>
    <row r="29" spans="2:21" x14ac:dyDescent="0.45">
      <c r="B29" s="3"/>
      <c r="C29" s="15"/>
      <c r="D29" s="15"/>
      <c r="E29" s="15"/>
      <c r="F29" s="3"/>
      <c r="G29" s="4"/>
      <c r="H29" s="3"/>
      <c r="I29" s="22" t="str" cm="1">
        <f t="array" ref="I29">IFERROR(
INDEX(Facilities_Masjids[اسم المرفق],
ROUNDUP((ROW()-ROW(Facilities_Masjids_By_Gender[[#Headers],[اسم المرفق]]))/COUNTA(Gender[جنس المستفيد]),0)),
"")</f>
        <v>جامع المجدوعي بالجبيل (المجمع السكني)</v>
      </c>
      <c r="J29" s="178" t="str" cm="1">
        <f t="array" ref="J29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الرجال</v>
      </c>
      <c r="K29" s="24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10</v>
      </c>
      <c r="L29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296</v>
      </c>
      <c r="M29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10</v>
      </c>
      <c r="N29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29" s="24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10</v>
      </c>
      <c r="P29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125</v>
      </c>
      <c r="Q29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10</v>
      </c>
      <c r="R29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8</v>
      </c>
      <c r="S29" s="24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7</v>
      </c>
      <c r="T29" s="3"/>
      <c r="U29" s="7"/>
    </row>
    <row r="30" spans="2:21" x14ac:dyDescent="0.45">
      <c r="B30" s="4"/>
      <c r="C30" s="15"/>
      <c r="D30" s="15"/>
      <c r="E30" s="15"/>
      <c r="F30" s="4"/>
      <c r="G30" s="4"/>
      <c r="H30" s="4"/>
      <c r="I30" s="22" t="str" cm="1">
        <f t="array" ref="I30">IFERROR(
INDEX(Facilities_Masjids[اسم المرفق],
ROUNDUP((ROW()-ROW(Facilities_Masjids_By_Gender[[#Headers],[اسم المرفق]]))/COUNTA(Gender[جنس المستفيد]),0)),
"")</f>
        <v>جامع المجدوعي بالجبيل (المجمع السكني)</v>
      </c>
      <c r="J30" s="178" t="str" cm="1">
        <f t="array" ref="J30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النساء</v>
      </c>
      <c r="K30" s="24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0</v>
      </c>
      <c r="L30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0</v>
      </c>
      <c r="M30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0</v>
      </c>
      <c r="N30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30" s="24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0</v>
      </c>
      <c r="P30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0</v>
      </c>
      <c r="Q30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0</v>
      </c>
      <c r="R30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0</v>
      </c>
      <c r="S30" s="24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0</v>
      </c>
      <c r="T30" s="4"/>
    </row>
    <row r="31" spans="2:21" x14ac:dyDescent="0.45">
      <c r="B31" s="4"/>
      <c r="C31" s="15"/>
      <c r="D31" s="15"/>
      <c r="E31" s="15"/>
      <c r="F31" s="4"/>
      <c r="G31" s="4"/>
      <c r="H31" s="4"/>
      <c r="I31" s="22" t="str" cm="1">
        <f t="array" ref="I31">IFERROR(
INDEX(Facilities_Masjids[اسم المرفق],
ROUNDUP((ROW()-ROW(Facilities_Masjids_By_Gender[[#Headers],[اسم المرفق]]))/COUNTA(Gender[جنس المستفيد]),0)),
"")</f>
        <v>جامع حليمة بنت سعيد المجدوعي بجدة (المجمع السكني)</v>
      </c>
      <c r="J31" s="178" t="str" cm="1">
        <f t="array" ref="J31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الرجال</v>
      </c>
      <c r="K31" s="24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14</v>
      </c>
      <c r="L31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450</v>
      </c>
      <c r="M31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7</v>
      </c>
      <c r="N31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31" s="24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13</v>
      </c>
      <c r="P31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116</v>
      </c>
      <c r="Q31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0</v>
      </c>
      <c r="R31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6</v>
      </c>
      <c r="S31" s="24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0</v>
      </c>
      <c r="T31" s="4"/>
    </row>
    <row r="32" spans="2:21" x14ac:dyDescent="0.45">
      <c r="B32" s="4"/>
      <c r="C32" s="15"/>
      <c r="D32" s="15"/>
      <c r="E32" s="15"/>
      <c r="F32" s="4"/>
      <c r="G32" s="4"/>
      <c r="H32" s="4"/>
      <c r="I32" s="22" t="str" cm="1">
        <f t="array" ref="I32">IFERROR(
INDEX(Facilities_Masjids[اسم المرفق],
ROUNDUP((ROW()-ROW(Facilities_Masjids_By_Gender[[#Headers],[اسم المرفق]]))/COUNTA(Gender[جنس المستفيد]),0)),
"")</f>
        <v>جامع حليمة بنت سعيد المجدوعي بجدة (المجمع السكني)</v>
      </c>
      <c r="J32" s="178" t="str" cm="1">
        <f t="array" ref="J32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النساء</v>
      </c>
      <c r="K32" s="24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0</v>
      </c>
      <c r="L32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0</v>
      </c>
      <c r="M32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0</v>
      </c>
      <c r="N32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32" s="24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0</v>
      </c>
      <c r="P32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0</v>
      </c>
      <c r="Q32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0</v>
      </c>
      <c r="R32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0</v>
      </c>
      <c r="S32" s="24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0</v>
      </c>
      <c r="T32" s="4"/>
    </row>
    <row r="33" spans="2:20" x14ac:dyDescent="0.45">
      <c r="B33" s="4"/>
      <c r="C33" s="15"/>
      <c r="D33" s="15"/>
      <c r="E33" s="15"/>
      <c r="F33" s="4"/>
      <c r="G33" s="4"/>
      <c r="H33" s="4"/>
      <c r="I33" s="22" t="str" cm="1">
        <f t="array" ref="I33">IFERROR(
INDEX(Facilities_Masjids[اسم المرفق],
ROUNDUP((ROW()-ROW(Facilities_Masjids_By_Gender[[#Headers],[اسم المرفق]]))/COUNTA(Gender[جنس المستفيد]),0)),
"")</f>
        <v>مكتب مؤسسة المجدوعي الخيرية بالدمام</v>
      </c>
      <c r="J33" s="178" t="str" cm="1">
        <f t="array" ref="J33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الرجال</v>
      </c>
      <c r="K33" s="24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0</v>
      </c>
      <c r="L33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0</v>
      </c>
      <c r="M33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0</v>
      </c>
      <c r="N33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33" s="24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0</v>
      </c>
      <c r="P33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0</v>
      </c>
      <c r="Q33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0</v>
      </c>
      <c r="R33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0</v>
      </c>
      <c r="S33" s="24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0</v>
      </c>
      <c r="T33" s="4"/>
    </row>
    <row r="34" spans="2:20" x14ac:dyDescent="0.45">
      <c r="B34" s="4"/>
      <c r="C34" s="15"/>
      <c r="D34" s="15"/>
      <c r="E34" s="15"/>
      <c r="F34" s="4"/>
      <c r="G34" s="4"/>
      <c r="H34" s="4"/>
      <c r="I34" s="22" t="str" cm="1">
        <f t="array" ref="I34">IFERROR(
INDEX(Facilities_Masjids[اسم المرفق],
ROUNDUP((ROW()-ROW(Facilities_Masjids_By_Gender[[#Headers],[اسم المرفق]]))/COUNTA(Gender[جنس المستفيد]),0)),
"")</f>
        <v>مكتب مؤسسة المجدوعي الخيرية بالدمام</v>
      </c>
      <c r="J34" s="178" t="str" cm="1">
        <f t="array" ref="J34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النساء</v>
      </c>
      <c r="K34" s="24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0</v>
      </c>
      <c r="L34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0</v>
      </c>
      <c r="M34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0</v>
      </c>
      <c r="N34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34" s="24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0</v>
      </c>
      <c r="P34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0</v>
      </c>
      <c r="Q34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0</v>
      </c>
      <c r="R34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0</v>
      </c>
      <c r="S34" s="24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0</v>
      </c>
      <c r="T34" s="4"/>
    </row>
    <row r="35" spans="2:20" x14ac:dyDescent="0.45">
      <c r="B35" s="4"/>
      <c r="C35" s="15"/>
      <c r="D35" s="15"/>
      <c r="E35" s="15"/>
      <c r="F35" s="4"/>
      <c r="G35" s="4"/>
      <c r="H35" s="4"/>
      <c r="I35" s="22" t="str" cm="1">
        <f t="array" ref="I35">IFERROR(
INDEX(Facilities_Masjids[اسم المرفق],
ROUNDUP((ROW()-ROW(Facilities_Masjids_By_Gender[[#Headers],[اسم المرفق]]))/COUNTA(Gender[جنس المستفيد]),0)),
"")</f>
        <v>مصلى مجمع المجدوعي السكني بينبع</v>
      </c>
      <c r="J35" s="178" t="str" cm="1">
        <f t="array" ref="J35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الرجال</v>
      </c>
      <c r="K35" s="24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6</v>
      </c>
      <c r="L35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200</v>
      </c>
      <c r="M35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5</v>
      </c>
      <c r="N35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35" s="24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0</v>
      </c>
      <c r="P35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35</v>
      </c>
      <c r="Q35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1</v>
      </c>
      <c r="R35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2</v>
      </c>
      <c r="S35" s="24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0</v>
      </c>
      <c r="T35" s="4"/>
    </row>
    <row r="36" spans="2:20" x14ac:dyDescent="0.45">
      <c r="B36" s="4"/>
      <c r="C36" s="15"/>
      <c r="D36" s="15"/>
      <c r="E36" s="15"/>
      <c r="F36" s="4"/>
      <c r="G36" s="4"/>
      <c r="H36" s="4"/>
      <c r="I36" s="22" t="str" cm="1">
        <f t="array" ref="I36">IFERROR(
INDEX(Facilities_Masjids[اسم المرفق],
ROUNDUP((ROW()-ROW(Facilities_Masjids_By_Gender[[#Headers],[اسم المرفق]]))/COUNTA(Gender[جنس المستفيد]),0)),
"")</f>
        <v>مصلى مجمع المجدوعي السكني بينبع</v>
      </c>
      <c r="J36" s="178" t="str" cm="1">
        <f t="array" ref="J36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النساء</v>
      </c>
      <c r="K36" s="24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0</v>
      </c>
      <c r="L36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0</v>
      </c>
      <c r="M36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0</v>
      </c>
      <c r="N36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36" s="24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0</v>
      </c>
      <c r="P36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0</v>
      </c>
      <c r="Q36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0</v>
      </c>
      <c r="R36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0</v>
      </c>
      <c r="S36" s="24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0</v>
      </c>
      <c r="T36" s="4"/>
    </row>
    <row r="37" spans="2:20" x14ac:dyDescent="0.45">
      <c r="B37" s="4"/>
      <c r="C37" s="15"/>
      <c r="D37" s="15"/>
      <c r="E37" s="15"/>
      <c r="F37" s="4"/>
      <c r="G37" s="4"/>
      <c r="H37" s="4"/>
      <c r="I37" s="22" t="str" cm="1">
        <f t="array" ref="I37">IFERROR(
INDEX(Facilities_Masjids[اسم المرفق],
ROUNDUP((ROW()-ROW(Facilities_Masjids_By_Gender[[#Headers],[اسم المرفق]]))/COUNTA(Gender[جنس المستفيد]),0)),
"")</f>
        <v>مسجد مجمع المجدوعي التجاري بالدمام</v>
      </c>
      <c r="J37" s="178" t="str" cm="1">
        <f t="array" ref="J37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الرجال</v>
      </c>
      <c r="K37" s="24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12</v>
      </c>
      <c r="L37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264</v>
      </c>
      <c r="M37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3</v>
      </c>
      <c r="N37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37" s="24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0</v>
      </c>
      <c r="P37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100</v>
      </c>
      <c r="Q37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0</v>
      </c>
      <c r="R37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6</v>
      </c>
      <c r="S37" s="24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0</v>
      </c>
      <c r="T37" s="4"/>
    </row>
    <row r="38" spans="2:20" x14ac:dyDescent="0.45">
      <c r="B38" s="4"/>
      <c r="C38" s="15"/>
      <c r="D38" s="15"/>
      <c r="E38" s="15"/>
      <c r="F38" s="4"/>
      <c r="G38" s="4"/>
      <c r="H38" s="4"/>
      <c r="I38" s="22" t="str" cm="1">
        <f t="array" ref="I38">IFERROR(
INDEX(Facilities_Masjids[اسم المرفق],
ROUNDUP((ROW()-ROW(Facilities_Masjids_By_Gender[[#Headers],[اسم المرفق]]))/COUNTA(Gender[جنس المستفيد]),0)),
"")</f>
        <v>مسجد مجمع المجدوعي التجاري بالدمام</v>
      </c>
      <c r="J38" s="178" t="str" cm="1">
        <f t="array" ref="J38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النساء</v>
      </c>
      <c r="K38" s="24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0</v>
      </c>
      <c r="L38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0</v>
      </c>
      <c r="M38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0</v>
      </c>
      <c r="N38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38" s="24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0</v>
      </c>
      <c r="P38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0</v>
      </c>
      <c r="Q38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0</v>
      </c>
      <c r="R38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0</v>
      </c>
      <c r="S38" s="24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0</v>
      </c>
      <c r="T38" s="4"/>
    </row>
    <row r="39" spans="2:20" x14ac:dyDescent="0.45">
      <c r="B39" s="4"/>
      <c r="C39" s="15"/>
      <c r="D39" s="15"/>
      <c r="E39" s="15"/>
      <c r="F39" s="4"/>
      <c r="G39" s="4"/>
      <c r="H39" s="4"/>
      <c r="I39" s="22" t="str" cm="1">
        <f t="array" ref="I39">IFERROR(
INDEX(Facilities_Masjids[اسم المرفق],
ROUNDUP((ROW()-ROW(Facilities_Masjids_By_Gender[[#Headers],[اسم المرفق]]))/COUNTA(Gender[جنس المستفيد]),0)),
"")</f>
        <v>جامع الشيخ صالح بن عبد الله المجدوعي بجازان</v>
      </c>
      <c r="J39" s="178" t="str" cm="1">
        <f t="array" ref="J39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الرجال</v>
      </c>
      <c r="K39" s="24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7</v>
      </c>
      <c r="L39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210</v>
      </c>
      <c r="M39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2</v>
      </c>
      <c r="N39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39" s="24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1</v>
      </c>
      <c r="P39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100</v>
      </c>
      <c r="Q39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0</v>
      </c>
      <c r="R39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5</v>
      </c>
      <c r="S39" s="24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4</v>
      </c>
      <c r="T39" s="4"/>
    </row>
    <row r="40" spans="2:20" x14ac:dyDescent="0.45">
      <c r="B40" s="4"/>
      <c r="C40" s="15"/>
      <c r="D40" s="15"/>
      <c r="E40" s="15"/>
      <c r="F40" s="4"/>
      <c r="G40" s="4"/>
      <c r="H40" s="4"/>
      <c r="I40" s="22" t="str" cm="1">
        <f t="array" ref="I40">IFERROR(
INDEX(Facilities_Masjids[اسم المرفق],
ROUNDUP((ROW()-ROW(Facilities_Masjids_By_Gender[[#Headers],[اسم المرفق]]))/COUNTA(Gender[جنس المستفيد]),0)),
"")</f>
        <v>جامع الشيخ صالح بن عبد الله المجدوعي بجازان</v>
      </c>
      <c r="J40" s="178" t="str" cm="1">
        <f t="array" ref="J40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النساء</v>
      </c>
      <c r="K40" s="24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0</v>
      </c>
      <c r="L40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0</v>
      </c>
      <c r="M40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0</v>
      </c>
      <c r="N40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40" s="24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0</v>
      </c>
      <c r="P40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0</v>
      </c>
      <c r="Q40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0</v>
      </c>
      <c r="R40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0</v>
      </c>
      <c r="S40" s="24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0</v>
      </c>
      <c r="T40" s="4"/>
    </row>
    <row r="41" spans="2:20" x14ac:dyDescent="0.45">
      <c r="B41" s="4"/>
      <c r="C41" s="15"/>
      <c r="D41" s="15"/>
      <c r="E41" s="15"/>
      <c r="F41" s="4"/>
      <c r="G41" s="4"/>
      <c r="H41" s="4"/>
      <c r="I41" s="22" t="str" cm="1">
        <f t="array" ref="I41">IFERROR(
INDEX(Facilities_Masjids[اسم المرفق],
ROUNDUP((ROW()-ROW(Facilities_Masjids_By_Gender[[#Headers],[اسم المرفق]]))/COUNTA(Gender[جنس المستفيد]),0)),
"")</f>
        <v>جامع عبد الله بن علي المجدوعي بجازان</v>
      </c>
      <c r="J41" s="178" t="str" cm="1">
        <f t="array" ref="J41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الرجال</v>
      </c>
      <c r="K41" s="24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7</v>
      </c>
      <c r="L41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210</v>
      </c>
      <c r="M41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4</v>
      </c>
      <c r="N41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41" s="24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1</v>
      </c>
      <c r="P41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100</v>
      </c>
      <c r="Q41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0</v>
      </c>
      <c r="R41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1</v>
      </c>
      <c r="S41" s="24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4</v>
      </c>
      <c r="T41" s="4"/>
    </row>
    <row r="42" spans="2:20" x14ac:dyDescent="0.45">
      <c r="B42" s="4"/>
      <c r="C42" s="15"/>
      <c r="D42" s="15"/>
      <c r="E42" s="15"/>
      <c r="F42" s="4"/>
      <c r="G42" s="4"/>
      <c r="H42" s="4"/>
      <c r="I42" s="22" t="str" cm="1">
        <f t="array" ref="I42">IFERROR(
INDEX(Facilities_Masjids[اسم المرفق],
ROUNDUP((ROW()-ROW(Facilities_Masjids_By_Gender[[#Headers],[اسم المرفق]]))/COUNTA(Gender[جنس المستفيد]),0)),
"")</f>
        <v>جامع عبد الله بن علي المجدوعي بجازان</v>
      </c>
      <c r="J42" s="178" t="str" cm="1">
        <f t="array" ref="J42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النساء</v>
      </c>
      <c r="K42" s="24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0</v>
      </c>
      <c r="L42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0</v>
      </c>
      <c r="M42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0</v>
      </c>
      <c r="N42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42" s="24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0</v>
      </c>
      <c r="P42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0</v>
      </c>
      <c r="Q42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0</v>
      </c>
      <c r="R42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0</v>
      </c>
      <c r="S42" s="24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0</v>
      </c>
      <c r="T42" s="4"/>
    </row>
    <row r="43" spans="2:20" x14ac:dyDescent="0.45">
      <c r="B43" s="4"/>
      <c r="C43" s="15"/>
      <c r="D43" s="15"/>
      <c r="E43" s="15"/>
      <c r="F43" s="4"/>
      <c r="G43" s="4"/>
      <c r="H43" s="4"/>
      <c r="I43" s="22" t="str" cm="1">
        <f t="array" ref="I43">IFERROR(
INDEX(Facilities_Masjids[اسم المرفق],
ROUNDUP((ROW()-ROW(Facilities_Masjids_By_Gender[[#Headers],[اسم المرفق]]))/COUNTA(Gender[جنس المستفيد]),0)),
"")</f>
        <v>مسجد مزرعة الشيخ علي المجدوعي بصلاصل</v>
      </c>
      <c r="J43" s="178" t="str" cm="1">
        <f t="array" ref="J43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الرجال</v>
      </c>
      <c r="K43" s="24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7</v>
      </c>
      <c r="L43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140</v>
      </c>
      <c r="M43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1</v>
      </c>
      <c r="N43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43" s="24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5</v>
      </c>
      <c r="P43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78</v>
      </c>
      <c r="Q43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0</v>
      </c>
      <c r="R43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4</v>
      </c>
      <c r="S43" s="24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0</v>
      </c>
      <c r="T43" s="4"/>
    </row>
    <row r="44" spans="2:20" x14ac:dyDescent="0.45">
      <c r="B44" s="4"/>
      <c r="C44" s="15"/>
      <c r="D44" s="15"/>
      <c r="E44" s="15"/>
      <c r="F44" s="4"/>
      <c r="G44" s="4"/>
      <c r="H44" s="4"/>
      <c r="I44" s="22" t="str" cm="1">
        <f t="array" ref="I44">IFERROR(
INDEX(Facilities_Masjids[اسم المرفق],
ROUNDUP((ROW()-ROW(Facilities_Masjids_By_Gender[[#Headers],[اسم المرفق]]))/COUNTA(Gender[جنس المستفيد]),0)),
"")</f>
        <v>مسجد مزرعة الشيخ علي المجدوعي بصلاصل</v>
      </c>
      <c r="J44" s="178" t="str" cm="1">
        <f t="array" ref="J44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النساء</v>
      </c>
      <c r="K44" s="24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0</v>
      </c>
      <c r="L44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0</v>
      </c>
      <c r="M44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0</v>
      </c>
      <c r="N44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44" s="24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0</v>
      </c>
      <c r="P44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0</v>
      </c>
      <c r="Q44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0</v>
      </c>
      <c r="R44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0</v>
      </c>
      <c r="S44" s="24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0</v>
      </c>
      <c r="T44" s="4"/>
    </row>
    <row r="45" spans="2:20" x14ac:dyDescent="0.45">
      <c r="B45" s="4"/>
      <c r="C45" s="15"/>
      <c r="D45" s="15"/>
      <c r="E45" s="15"/>
      <c r="F45" s="4"/>
      <c r="G45" s="4"/>
      <c r="H45" s="4"/>
      <c r="I45" s="173" t="str" cm="1">
        <f t="array" ref="I45">IFERROR(
INDEX(Facilities_Masjids[اسم المرفق],
ROUNDUP((ROW()-ROW(Facilities_Masjids_By_Gender[[#Headers],[اسم المرفق]]))/COUNTA(Gender[جنس المستفيد]),0)),
"")</f>
        <v>مدرسة أم عبد الله المجدوعي النسائية بالدمام</v>
      </c>
      <c r="J45" s="179" t="str" cm="1">
        <f t="array" ref="J45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الرجال</v>
      </c>
      <c r="K45" s="24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0</v>
      </c>
      <c r="L45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0</v>
      </c>
      <c r="M45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0</v>
      </c>
      <c r="N45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45" s="24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0</v>
      </c>
      <c r="P45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0</v>
      </c>
      <c r="Q45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0</v>
      </c>
      <c r="R45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0</v>
      </c>
      <c r="S45" s="24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0</v>
      </c>
      <c r="T45" s="4"/>
    </row>
    <row r="46" spans="2:20" x14ac:dyDescent="0.45">
      <c r="B46" s="4"/>
      <c r="C46" s="15"/>
      <c r="D46" s="15"/>
      <c r="E46" s="15"/>
      <c r="F46" s="4"/>
      <c r="G46" s="4"/>
      <c r="H46" s="4"/>
      <c r="I46" s="175" t="str" cm="1">
        <f t="array" ref="I46">IFERROR(
INDEX(Facilities_Masjids[اسم المرفق],
ROUNDUP((ROW()-ROW(Facilities_Masjids_By_Gender[[#Headers],[اسم المرفق]]))/COUNTA(Gender[جنس المستفيد]),0)),
"")</f>
        <v>مدرسة أم عبد الله المجدوعي النسائية بالدمام</v>
      </c>
      <c r="J46" s="179" t="str" cm="1">
        <f t="array" ref="J46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النساء</v>
      </c>
      <c r="K46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0</v>
      </c>
      <c r="L46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0</v>
      </c>
      <c r="M46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0</v>
      </c>
      <c r="N46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46" s="176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0</v>
      </c>
      <c r="P46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0</v>
      </c>
      <c r="Q46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0</v>
      </c>
      <c r="R46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0</v>
      </c>
      <c r="S46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0</v>
      </c>
      <c r="T46" s="4"/>
    </row>
    <row r="47" spans="2:20" x14ac:dyDescent="0.45">
      <c r="B47" s="4"/>
      <c r="C47" s="15"/>
      <c r="D47" s="15"/>
      <c r="E47" s="15"/>
      <c r="F47" s="4"/>
      <c r="G47" s="4"/>
      <c r="H47" s="4"/>
      <c r="I47" s="175" t="str" cm="1">
        <f t="array" ref="I47">IFERROR(
INDEX(Facilities_Masjids[اسم المرفق],
ROUNDUP((ROW()-ROW(Facilities_Masjids_By_Gender[[#Headers],[اسم المرفق]]))/COUNTA(Gender[جنس المستفيد]),0)),
"")</f>
        <v>روضة أم عبد الله المجدوعي التعليمية بالدمام</v>
      </c>
      <c r="J47" s="179" t="str" cm="1">
        <f t="array" ref="J47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الرجال</v>
      </c>
      <c r="K47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0</v>
      </c>
      <c r="L47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0</v>
      </c>
      <c r="M47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0</v>
      </c>
      <c r="N47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47" s="176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0</v>
      </c>
      <c r="P47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0</v>
      </c>
      <c r="Q47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0</v>
      </c>
      <c r="R47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0</v>
      </c>
      <c r="S47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0</v>
      </c>
      <c r="T47" s="4"/>
    </row>
    <row r="48" spans="2:20" x14ac:dyDescent="0.45">
      <c r="B48" s="4"/>
      <c r="C48" s="15"/>
      <c r="D48" s="15"/>
      <c r="E48" s="15"/>
      <c r="F48" s="4"/>
      <c r="G48" s="4"/>
      <c r="H48" s="4"/>
      <c r="I48" s="175" t="str" cm="1">
        <f t="array" ref="I48">IFERROR(
INDEX(Facilities_Masjids[اسم المرفق],
ROUNDUP((ROW()-ROW(Facilities_Masjids_By_Gender[[#Headers],[اسم المرفق]]))/COUNTA(Gender[جنس المستفيد]),0)),
"")</f>
        <v>روضة أم عبد الله المجدوعي التعليمية بالدمام</v>
      </c>
      <c r="J48" s="179" t="str" cm="1">
        <f t="array" ref="J48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النساء</v>
      </c>
      <c r="K48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0</v>
      </c>
      <c r="L48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0</v>
      </c>
      <c r="M48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0</v>
      </c>
      <c r="N48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48" s="176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0</v>
      </c>
      <c r="P48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0</v>
      </c>
      <c r="Q48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0</v>
      </c>
      <c r="R48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0</v>
      </c>
      <c r="S48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0</v>
      </c>
      <c r="T48" s="4"/>
    </row>
    <row r="49" spans="2:20" x14ac:dyDescent="0.45">
      <c r="B49" s="4"/>
      <c r="C49" s="15"/>
      <c r="D49" s="15"/>
      <c r="E49" s="15"/>
      <c r="F49" s="4"/>
      <c r="G49" s="4"/>
      <c r="H49" s="4"/>
      <c r="I49" s="175" t="str" cm="1">
        <f t="array" ref="I49">IFERROR(
INDEX(Facilities_Masjids[اسم المرفق],
ROUNDUP((ROW()-ROW(Facilities_Masjids_By_Gender[[#Headers],[اسم المرفق]]))/COUNTA(Gender[جنس المستفيد]),0)),
"")</f>
        <v>مدرسة فكرة بنت سعيد المجدوعي بمكة المكرمة</v>
      </c>
      <c r="J49" s="179" t="str" cm="1">
        <f t="array" ref="J49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الرجال</v>
      </c>
      <c r="K49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0</v>
      </c>
      <c r="L49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0</v>
      </c>
      <c r="M49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0</v>
      </c>
      <c r="N49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49" s="176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0</v>
      </c>
      <c r="P49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0</v>
      </c>
      <c r="Q49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0</v>
      </c>
      <c r="R49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0</v>
      </c>
      <c r="S49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0</v>
      </c>
      <c r="T49" s="4"/>
    </row>
    <row r="50" spans="2:20" x14ac:dyDescent="0.45">
      <c r="B50" s="4"/>
      <c r="C50" s="15"/>
      <c r="D50" s="15"/>
      <c r="E50" s="15"/>
      <c r="F50" s="4"/>
      <c r="G50" s="4"/>
      <c r="H50" s="4"/>
      <c r="I50" s="175" t="str" cm="1">
        <f t="array" ref="I50">IFERROR(
INDEX(Facilities_Masjids[اسم المرفق],
ROUNDUP((ROW()-ROW(Facilities_Masjids_By_Gender[[#Headers],[اسم المرفق]]))/COUNTA(Gender[جنس المستفيد]),0)),
"")</f>
        <v>مدرسة فكرة بنت سعيد المجدوعي بمكة المكرمة</v>
      </c>
      <c r="J50" s="179" t="str" cm="1">
        <f t="array" ref="J50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النساء</v>
      </c>
      <c r="K50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0</v>
      </c>
      <c r="L50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0</v>
      </c>
      <c r="M50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0</v>
      </c>
      <c r="N50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50" s="176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0</v>
      </c>
      <c r="P50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0</v>
      </c>
      <c r="Q50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0</v>
      </c>
      <c r="R50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0</v>
      </c>
      <c r="S50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0</v>
      </c>
      <c r="T50" s="4"/>
    </row>
    <row r="51" spans="2:20" x14ac:dyDescent="0.45">
      <c r="B51" s="4"/>
      <c r="C51" s="15"/>
      <c r="D51" s="15"/>
      <c r="E51" s="15"/>
      <c r="F51" s="4"/>
      <c r="G51" s="4"/>
      <c r="H51" s="4"/>
      <c r="I51" s="175" t="str" cm="1">
        <f t="array" ref="I51">IFERROR(
INDEX(Facilities_Masjids[اسم المرفق],
ROUNDUP((ROW()-ROW(Facilities_Masjids_By_Gender[[#Headers],[اسم المرفق]]))/COUNTA(Gender[جنس المستفيد]),0)),
"")</f>
        <v>مسجد فاطمة بنت علي المجدوعي بالدمام</v>
      </c>
      <c r="J51" s="179" t="str" cm="1">
        <f t="array" ref="J51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الرجال</v>
      </c>
      <c r="K51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3</v>
      </c>
      <c r="L51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110</v>
      </c>
      <c r="M51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0</v>
      </c>
      <c r="N51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51" s="176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0</v>
      </c>
      <c r="P51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8</v>
      </c>
      <c r="Q51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0</v>
      </c>
      <c r="R51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1</v>
      </c>
      <c r="S51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1</v>
      </c>
      <c r="T51" s="4"/>
    </row>
    <row r="52" spans="2:20" x14ac:dyDescent="0.45">
      <c r="B52" s="4"/>
      <c r="C52" s="15"/>
      <c r="D52" s="15"/>
      <c r="E52" s="15"/>
      <c r="F52" s="4"/>
      <c r="G52" s="4"/>
      <c r="H52" s="4"/>
      <c r="I52" s="175" t="str" cm="1">
        <f t="array" ref="I52">IFERROR(
INDEX(Facilities_Masjids[اسم المرفق],
ROUNDUP((ROW()-ROW(Facilities_Masjids_By_Gender[[#Headers],[اسم المرفق]]))/COUNTA(Gender[جنس المستفيد]),0)),
"")</f>
        <v>مسجد فاطمة بنت علي المجدوعي بالدمام</v>
      </c>
      <c r="J52" s="179" t="str" cm="1">
        <f t="array" ref="J52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النساء</v>
      </c>
      <c r="K52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0</v>
      </c>
      <c r="L52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0</v>
      </c>
      <c r="M52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0</v>
      </c>
      <c r="N52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52" s="176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0</v>
      </c>
      <c r="P52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0</v>
      </c>
      <c r="Q52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0</v>
      </c>
      <c r="R52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0</v>
      </c>
      <c r="S52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0</v>
      </c>
      <c r="T52" s="4"/>
    </row>
    <row r="53" spans="2:20" x14ac:dyDescent="0.45">
      <c r="B53" s="4"/>
      <c r="C53" s="15"/>
      <c r="D53" s="15"/>
      <c r="E53" s="15"/>
      <c r="F53" s="4"/>
      <c r="G53" s="4"/>
      <c r="H53" s="4"/>
      <c r="I53" s="175" t="str" cm="1">
        <f t="array" ref="I53">IFERROR(
INDEX(Facilities_Masjids[اسم المرفق],
ROUNDUP((ROW()-ROW(Facilities_Masjids_By_Gender[[#Headers],[اسم المرفق]]))/COUNTA(Gender[جنس المستفيد]),0)),
"")</f>
        <v>جامع مجمع المجدوعي للصناعات الحديدية</v>
      </c>
      <c r="J53" s="179" t="str" cm="1">
        <f t="array" ref="J53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الرجال</v>
      </c>
      <c r="K53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11</v>
      </c>
      <c r="L53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448</v>
      </c>
      <c r="M53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7</v>
      </c>
      <c r="N53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53" s="176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14</v>
      </c>
      <c r="P53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10</v>
      </c>
      <c r="Q53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0</v>
      </c>
      <c r="R53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0</v>
      </c>
      <c r="S53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0</v>
      </c>
      <c r="T53" s="4"/>
    </row>
    <row r="54" spans="2:20" x14ac:dyDescent="0.45">
      <c r="B54" s="4"/>
      <c r="C54" s="15"/>
      <c r="D54" s="15"/>
      <c r="E54" s="15"/>
      <c r="F54" s="4"/>
      <c r="G54" s="4"/>
      <c r="H54" s="4"/>
      <c r="I54" s="175" t="str" cm="1">
        <f t="array" ref="I54">IFERROR(
INDEX(Facilities_Masjids[اسم المرفق],
ROUNDUP((ROW()-ROW(Facilities_Masjids_By_Gender[[#Headers],[اسم المرفق]]))/COUNTA(Gender[جنس المستفيد]),0)),
"")</f>
        <v>جامع مجمع المجدوعي للصناعات الحديدية</v>
      </c>
      <c r="J54" s="179" t="str" cm="1">
        <f t="array" ref="J54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النساء</v>
      </c>
      <c r="K54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0</v>
      </c>
      <c r="L54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0</v>
      </c>
      <c r="M54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0</v>
      </c>
      <c r="N54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54" s="176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0</v>
      </c>
      <c r="P54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0</v>
      </c>
      <c r="Q54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0</v>
      </c>
      <c r="R54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0</v>
      </c>
      <c r="S54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0</v>
      </c>
      <c r="T54" s="4"/>
    </row>
    <row r="55" spans="2:20" x14ac:dyDescent="0.45">
      <c r="B55" s="4"/>
      <c r="C55" s="15"/>
      <c r="D55" s="15"/>
      <c r="E55" s="15"/>
      <c r="F55" s="4"/>
      <c r="G55" s="4"/>
      <c r="H55" s="4"/>
      <c r="I55" s="175" t="str" cm="1">
        <f t="array" ref="I55">IFERROR(
INDEX(Facilities_Masjids[اسم المرفق],
ROUNDUP((ROW()-ROW(Facilities_Masjids_By_Gender[[#Headers],[اسم المرفق]]))/COUNTA(Gender[جنس المستفيد]),0)),
"")</f>
        <v>مسجد إبراهيم المجدوعي بالدمام (جمعية إيفاء)</v>
      </c>
      <c r="J55" s="179" t="str" cm="1">
        <f t="array" ref="J55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الرجال</v>
      </c>
      <c r="K55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6</v>
      </c>
      <c r="L55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216</v>
      </c>
      <c r="M55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5</v>
      </c>
      <c r="N55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55" s="176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5</v>
      </c>
      <c r="P55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35</v>
      </c>
      <c r="Q55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2</v>
      </c>
      <c r="R55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1</v>
      </c>
      <c r="S55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0</v>
      </c>
      <c r="T55" s="4"/>
    </row>
    <row r="56" spans="2:20" x14ac:dyDescent="0.45">
      <c r="B56" s="4"/>
      <c r="C56" s="15"/>
      <c r="D56" s="15"/>
      <c r="E56" s="15"/>
      <c r="F56" s="4"/>
      <c r="G56" s="4"/>
      <c r="H56" s="4"/>
      <c r="I56" s="175" t="str" cm="1">
        <f t="array" ref="I56">IFERROR(
INDEX(Facilities_Masjids[اسم المرفق],
ROUNDUP((ROW()-ROW(Facilities_Masjids_By_Gender[[#Headers],[اسم المرفق]]))/COUNTA(Gender[جنس المستفيد]),0)),
"")</f>
        <v>مسجد إبراهيم المجدوعي بالدمام (جمعية إيفاء)</v>
      </c>
      <c r="J56" s="179" t="str" cm="1">
        <f t="array" ref="J56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النساء</v>
      </c>
      <c r="K56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0</v>
      </c>
      <c r="L56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0</v>
      </c>
      <c r="M56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0</v>
      </c>
      <c r="N56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56" s="176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0</v>
      </c>
      <c r="P56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0</v>
      </c>
      <c r="Q56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0</v>
      </c>
      <c r="R56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0</v>
      </c>
      <c r="S56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0</v>
      </c>
      <c r="T56" s="4"/>
    </row>
    <row r="57" spans="2:20" x14ac:dyDescent="0.45">
      <c r="B57" s="4"/>
      <c r="C57" s="15"/>
      <c r="D57" s="15"/>
      <c r="E57" s="15"/>
      <c r="F57" s="4"/>
      <c r="G57" s="4"/>
      <c r="H57" s="4"/>
      <c r="I57" s="175" t="str" cm="1">
        <f t="array" ref="I57">IFERROR(
INDEX(Facilities_Masjids[اسم المرفق],
ROUNDUP((ROW()-ROW(Facilities_Masjids_By_Gender[[#Headers],[اسم المرفق]]))/COUNTA(Gender[جنس المستفيد]),0)),
"")</f>
        <v>مصلى معرض هيونداي الرئيسي بالدمام</v>
      </c>
      <c r="J57" s="179" t="str" cm="1">
        <f t="array" ref="J57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الرجال</v>
      </c>
      <c r="K57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11</v>
      </c>
      <c r="L57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176</v>
      </c>
      <c r="M57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0</v>
      </c>
      <c r="N57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57" s="176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0</v>
      </c>
      <c r="P57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30</v>
      </c>
      <c r="Q57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2</v>
      </c>
      <c r="R57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4</v>
      </c>
      <c r="S57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0</v>
      </c>
      <c r="T57" s="4"/>
    </row>
    <row r="58" spans="2:20" x14ac:dyDescent="0.45">
      <c r="B58" s="4"/>
      <c r="C58" s="15"/>
      <c r="D58" s="15"/>
      <c r="E58" s="15"/>
      <c r="F58" s="4"/>
      <c r="G58" s="4"/>
      <c r="H58" s="4"/>
      <c r="I58" s="175" t="str" cm="1">
        <f t="array" ref="I58">IFERROR(
INDEX(Facilities_Masjids[اسم المرفق],
ROUNDUP((ROW()-ROW(Facilities_Masjids_By_Gender[[#Headers],[اسم المرفق]]))/COUNTA(Gender[جنس المستفيد]),0)),
"")</f>
        <v>مصلى معرض هيونداي الرئيسي بالدمام</v>
      </c>
      <c r="J58" s="179" t="str" cm="1">
        <f t="array" ref="J58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النساء</v>
      </c>
      <c r="K58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0</v>
      </c>
      <c r="L58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0</v>
      </c>
      <c r="M58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0</v>
      </c>
      <c r="N58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58" s="176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0</v>
      </c>
      <c r="P58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0</v>
      </c>
      <c r="Q58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0</v>
      </c>
      <c r="R58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0</v>
      </c>
      <c r="S58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0</v>
      </c>
      <c r="T58" s="4"/>
    </row>
    <row r="59" spans="2:20" x14ac:dyDescent="0.45">
      <c r="B59" s="4"/>
      <c r="C59" s="15"/>
      <c r="D59" s="15"/>
      <c r="E59" s="15"/>
      <c r="F59" s="4"/>
      <c r="G59" s="4"/>
      <c r="H59" s="4"/>
      <c r="I59" s="175" t="str" cm="1">
        <f t="array" ref="I59">IFERROR(
INDEX(Facilities_Masjids[اسم المرفق],
ROUNDUP((ROW()-ROW(Facilities_Masjids_By_Gender[[#Headers],[اسم المرفق]]))/COUNTA(Gender[جنس المستفيد]),0)),
"")</f>
        <v>مصلى برج المجدوعي بالدمام</v>
      </c>
      <c r="J59" s="179" t="str" cm="1">
        <f t="array" ref="J59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الرجال</v>
      </c>
      <c r="K59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7</v>
      </c>
      <c r="L59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224</v>
      </c>
      <c r="M59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4</v>
      </c>
      <c r="N59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59" s="176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8</v>
      </c>
      <c r="P59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30</v>
      </c>
      <c r="Q59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7</v>
      </c>
      <c r="R59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3</v>
      </c>
      <c r="S59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0</v>
      </c>
      <c r="T59" s="4"/>
    </row>
    <row r="60" spans="2:20" x14ac:dyDescent="0.45">
      <c r="B60" s="4"/>
      <c r="C60" s="15"/>
      <c r="D60" s="15"/>
      <c r="E60" s="15"/>
      <c r="F60" s="4"/>
      <c r="G60" s="4"/>
      <c r="H60" s="4"/>
      <c r="I60" s="175" t="str" cm="1">
        <f t="array" ref="I60">IFERROR(
INDEX(Facilities_Masjids[اسم المرفق],
ROUNDUP((ROW()-ROW(Facilities_Masjids_By_Gender[[#Headers],[اسم المرفق]]))/COUNTA(Gender[جنس المستفيد]),0)),
"")</f>
        <v>مصلى برج المجدوعي بالدمام</v>
      </c>
      <c r="J60" s="179" t="str" cm="1">
        <f t="array" ref="J60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النساء</v>
      </c>
      <c r="K60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0</v>
      </c>
      <c r="L60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0</v>
      </c>
      <c r="M60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0</v>
      </c>
      <c r="N60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60" s="176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0</v>
      </c>
      <c r="P60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0</v>
      </c>
      <c r="Q60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0</v>
      </c>
      <c r="R60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0</v>
      </c>
      <c r="S60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0</v>
      </c>
      <c r="T60" s="4"/>
    </row>
    <row r="61" spans="2:20" x14ac:dyDescent="0.45">
      <c r="B61" s="4"/>
      <c r="C61" s="15"/>
      <c r="D61" s="15"/>
      <c r="E61" s="15"/>
      <c r="F61" s="4"/>
      <c r="G61" s="4"/>
      <c r="H61" s="4"/>
      <c r="I61" s="175" t="str" cm="1">
        <f t="array" ref="I61">IFERROR(
INDEX(Facilities_Masjids[اسم المرفق],
ROUNDUP((ROW()-ROW(Facilities_Masjids_By_Gender[[#Headers],[اسم المرفق]]))/COUNTA(Gender[جنس المستفيد]),0)),
"")</f>
        <v>مصلى برج مجد للأعمال بالخبر</v>
      </c>
      <c r="J61" s="179" t="str" cm="1">
        <f t="array" ref="J61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الرجال</v>
      </c>
      <c r="K61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8</v>
      </c>
      <c r="L61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192</v>
      </c>
      <c r="M61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0</v>
      </c>
      <c r="N61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61" s="176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4</v>
      </c>
      <c r="P61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45</v>
      </c>
      <c r="Q61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3</v>
      </c>
      <c r="R61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9</v>
      </c>
      <c r="S61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13</v>
      </c>
      <c r="T61" s="4"/>
    </row>
    <row r="62" spans="2:20" x14ac:dyDescent="0.45">
      <c r="B62" s="4"/>
      <c r="C62" s="15"/>
      <c r="D62" s="15"/>
      <c r="E62" s="15"/>
      <c r="F62" s="4"/>
      <c r="G62" s="4"/>
      <c r="H62" s="4"/>
      <c r="I62" s="175" t="str" cm="1">
        <f t="array" ref="I62">IFERROR(
INDEX(Facilities_Masjids[اسم المرفق],
ROUNDUP((ROW()-ROW(Facilities_Masjids_By_Gender[[#Headers],[اسم المرفق]]))/COUNTA(Gender[جنس المستفيد]),0)),
"")</f>
        <v>مصلى برج مجد للأعمال بالخبر</v>
      </c>
      <c r="J62" s="179" t="str" cm="1">
        <f t="array" ref="J62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النساء</v>
      </c>
      <c r="K62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0</v>
      </c>
      <c r="L62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0</v>
      </c>
      <c r="M62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0</v>
      </c>
      <c r="N62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62" s="176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0</v>
      </c>
      <c r="P62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0</v>
      </c>
      <c r="Q62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0</v>
      </c>
      <c r="R62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0</v>
      </c>
      <c r="S62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0</v>
      </c>
      <c r="T62" s="4"/>
    </row>
    <row r="63" spans="2:20" x14ac:dyDescent="0.45">
      <c r="B63" s="4"/>
      <c r="C63" s="15"/>
      <c r="D63" s="15"/>
      <c r="E63" s="15"/>
      <c r="F63" s="4"/>
      <c r="G63" s="4"/>
      <c r="H63" s="4"/>
      <c r="I63" s="175" t="str" cm="1">
        <f t="array" ref="I63">IFERROR(
INDEX(Facilities_Masjids[اسم المرفق],
ROUNDUP((ROW()-ROW(Facilities_Masjids_By_Gender[[#Headers],[اسم المرفق]]))/COUNTA(Gender[جنس المستفيد]),0)),
"")</f>
        <v>مصلى برج مجد سكوير بالجبيل</v>
      </c>
      <c r="J63" s="179" t="str" cm="1">
        <f t="array" ref="J63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الرجال</v>
      </c>
      <c r="K63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10</v>
      </c>
      <c r="L63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210</v>
      </c>
      <c r="M63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4</v>
      </c>
      <c r="N63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63" s="176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4</v>
      </c>
      <c r="P63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29</v>
      </c>
      <c r="Q63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0</v>
      </c>
      <c r="R63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1</v>
      </c>
      <c r="S63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2</v>
      </c>
      <c r="T63" s="4"/>
    </row>
    <row r="64" spans="2:20" x14ac:dyDescent="0.45">
      <c r="B64" s="4"/>
      <c r="C64" s="15"/>
      <c r="D64" s="15"/>
      <c r="E64" s="15"/>
      <c r="F64" s="4"/>
      <c r="G64" s="4"/>
      <c r="H64" s="4"/>
      <c r="I64" s="175" t="str" cm="1">
        <f t="array" ref="I64">IFERROR(
INDEX(Facilities_Masjids[اسم المرفق],
ROUNDUP((ROW()-ROW(Facilities_Masjids_By_Gender[[#Headers],[اسم المرفق]]))/COUNTA(Gender[جنس المستفيد]),0)),
"")</f>
        <v>مصلى برج مجد سكوير بالجبيل</v>
      </c>
      <c r="J64" s="179" t="str" cm="1">
        <f t="array" ref="J64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النساء</v>
      </c>
      <c r="K64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6</v>
      </c>
      <c r="L64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93</v>
      </c>
      <c r="M64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4</v>
      </c>
      <c r="N64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64" s="176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4</v>
      </c>
      <c r="P64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9</v>
      </c>
      <c r="Q64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1</v>
      </c>
      <c r="R64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0</v>
      </c>
      <c r="S64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1</v>
      </c>
      <c r="T64" s="4"/>
    </row>
    <row r="65" spans="2:20" x14ac:dyDescent="0.45">
      <c r="B65" s="4"/>
      <c r="C65" s="15"/>
      <c r="D65" s="15"/>
      <c r="E65" s="15"/>
      <c r="F65" s="4"/>
      <c r="G65" s="4"/>
      <c r="H65" s="4"/>
      <c r="I65" s="175" t="str" cm="1">
        <f t="array" ref="I65">IFERROR(
INDEX(Facilities_Masjids[اسم المرفق],
ROUNDUP((ROW()-ROW(Facilities_Masjids_By_Gender[[#Headers],[اسم المرفق]]))/COUNTA(Gender[جنس المستفيد]),0)),
"")</f>
        <v>مسجد ساحة المجدوعي بالجبيل</v>
      </c>
      <c r="J65" s="179" t="str" cm="1">
        <f t="array" ref="J65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الرجال</v>
      </c>
      <c r="K65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2</v>
      </c>
      <c r="L65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42</v>
      </c>
      <c r="M65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3</v>
      </c>
      <c r="N65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65" s="176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4</v>
      </c>
      <c r="P65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13</v>
      </c>
      <c r="Q65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2</v>
      </c>
      <c r="R65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1</v>
      </c>
      <c r="S65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0</v>
      </c>
      <c r="T65" s="4"/>
    </row>
    <row r="66" spans="2:20" x14ac:dyDescent="0.45">
      <c r="B66" s="4"/>
      <c r="C66" s="15"/>
      <c r="D66" s="15"/>
      <c r="E66" s="15"/>
      <c r="F66" s="4"/>
      <c r="G66" s="4"/>
      <c r="H66" s="4"/>
      <c r="I66" s="175" t="str" cm="1">
        <f t="array" ref="I66">IFERROR(
INDEX(Facilities_Masjids[اسم المرفق],
ROUNDUP((ROW()-ROW(Facilities_Masjids_By_Gender[[#Headers],[اسم المرفق]]))/COUNTA(Gender[جنس المستفيد]),0)),
"")</f>
        <v>مسجد ساحة المجدوعي بالجبيل</v>
      </c>
      <c r="J66" s="179" t="str" cm="1">
        <f t="array" ref="J66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النساء</v>
      </c>
      <c r="K66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0</v>
      </c>
      <c r="L66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0</v>
      </c>
      <c r="M66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0</v>
      </c>
      <c r="N66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66" s="176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0</v>
      </c>
      <c r="P66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0</v>
      </c>
      <c r="Q66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0</v>
      </c>
      <c r="R66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0</v>
      </c>
      <c r="S66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0</v>
      </c>
      <c r="T66" s="4"/>
    </row>
    <row r="67" spans="2:20" x14ac:dyDescent="0.45">
      <c r="B67" s="4"/>
      <c r="C67" s="15"/>
      <c r="D67" s="15"/>
      <c r="E67" s="15"/>
      <c r="F67" s="4"/>
      <c r="G67" s="4"/>
      <c r="H67" s="4"/>
      <c r="I67" s="175" t="str" cm="1">
        <f t="array" ref="I67">IFERROR(
INDEX(Facilities_Masjids[اسم المرفق],
ROUNDUP((ROW()-ROW(Facilities_Masjids_By_Gender[[#Headers],[اسم المرفق]]))/COUNTA(Gender[جنس المستفيد]),0)),
"")</f>
        <v>مسجد مزرعة الشيخ علي المجدوعي بالبيضاء (خاص)</v>
      </c>
      <c r="J67" s="179" t="str" cm="1">
        <f t="array" ref="J67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الرجال</v>
      </c>
      <c r="K67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9</v>
      </c>
      <c r="L67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224</v>
      </c>
      <c r="M67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2</v>
      </c>
      <c r="N67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67" s="176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7</v>
      </c>
      <c r="P67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43</v>
      </c>
      <c r="Q67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12</v>
      </c>
      <c r="R67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7</v>
      </c>
      <c r="S67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6</v>
      </c>
      <c r="T67" s="4"/>
    </row>
    <row r="68" spans="2:20" x14ac:dyDescent="0.45">
      <c r="B68" s="4"/>
      <c r="C68" s="15"/>
      <c r="D68" s="15"/>
      <c r="E68" s="15"/>
      <c r="F68" s="4"/>
      <c r="G68" s="4"/>
      <c r="H68" s="4"/>
      <c r="I68" s="175" t="str" cm="1">
        <f t="array" ref="I68">IFERROR(
INDEX(Facilities_Masjids[اسم المرفق],
ROUNDUP((ROW()-ROW(Facilities_Masjids_By_Gender[[#Headers],[اسم المرفق]]))/COUNTA(Gender[جنس المستفيد]),0)),
"")</f>
        <v>مسجد مزرعة الشيخ علي المجدوعي بالبيضاء (خاص)</v>
      </c>
      <c r="J68" s="179" t="str" cm="1">
        <f t="array" ref="J68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النساء</v>
      </c>
      <c r="K68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2</v>
      </c>
      <c r="L68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48</v>
      </c>
      <c r="M68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0</v>
      </c>
      <c r="N68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68" s="176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0</v>
      </c>
      <c r="P68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0</v>
      </c>
      <c r="Q68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0</v>
      </c>
      <c r="R68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0</v>
      </c>
      <c r="S68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0</v>
      </c>
      <c r="T68" s="4"/>
    </row>
    <row r="69" spans="2:20" x14ac:dyDescent="0.45">
      <c r="B69" s="4"/>
      <c r="C69" s="15"/>
      <c r="D69" s="15"/>
      <c r="E69" s="15"/>
      <c r="F69" s="4"/>
      <c r="G69" s="4"/>
      <c r="H69" s="4"/>
      <c r="I69" s="175" t="str" cm="1">
        <f t="array" ref="I69">IFERROR(
INDEX(Facilities_Masjids[اسم المرفق],
ROUNDUP((ROW()-ROW(Facilities_Masjids_By_Gender[[#Headers],[اسم المرفق]]))/COUNTA(Gender[جنس المستفيد]),0)),
"")</f>
        <v>مصلى فرع شركة المجدوعي القابضة بجدة</v>
      </c>
      <c r="J69" s="179" t="str" cm="1">
        <f t="array" ref="J69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الرجال</v>
      </c>
      <c r="K69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4</v>
      </c>
      <c r="L69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80</v>
      </c>
      <c r="M69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0</v>
      </c>
      <c r="N69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69" s="176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0</v>
      </c>
      <c r="P69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7</v>
      </c>
      <c r="Q69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5</v>
      </c>
      <c r="R69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0</v>
      </c>
      <c r="S69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2</v>
      </c>
      <c r="T69" s="4"/>
    </row>
    <row r="70" spans="2:20" x14ac:dyDescent="0.45">
      <c r="B70" s="4"/>
      <c r="C70" s="15"/>
      <c r="D70" s="15"/>
      <c r="E70" s="15"/>
      <c r="F70" s="4"/>
      <c r="G70" s="4"/>
      <c r="H70" s="4"/>
      <c r="I70" s="175" t="str" cm="1">
        <f t="array" ref="I70">IFERROR(
INDEX(Facilities_Masjids[اسم المرفق],
ROUNDUP((ROW()-ROW(Facilities_Masjids_By_Gender[[#Headers],[اسم المرفق]]))/COUNTA(Gender[جنس المستفيد]),0)),
"")</f>
        <v>مصلى فرع شركة المجدوعي القابضة بجدة</v>
      </c>
      <c r="J70" s="179" t="str" cm="1">
        <f t="array" ref="J70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النساء</v>
      </c>
      <c r="K70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0</v>
      </c>
      <c r="L70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0</v>
      </c>
      <c r="M70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0</v>
      </c>
      <c r="N70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70" s="176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0</v>
      </c>
      <c r="P70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0</v>
      </c>
      <c r="Q70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0</v>
      </c>
      <c r="R70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0</v>
      </c>
      <c r="S70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0</v>
      </c>
      <c r="T70" s="4"/>
    </row>
    <row r="71" spans="2:20" x14ac:dyDescent="0.45">
      <c r="B71" s="4"/>
      <c r="C71" s="15"/>
      <c r="D71" s="15"/>
      <c r="E71" s="15"/>
      <c r="F71" s="4"/>
      <c r="G71" s="4"/>
      <c r="H71" s="4"/>
      <c r="I71" s="175" t="str" cm="1">
        <f t="array" ref="I71">IFERROR(
INDEX(Facilities_Masjids[اسم المرفق],
ROUNDUP((ROW()-ROW(Facilities_Masjids_By_Gender[[#Headers],[اسم المرفق]]))/COUNTA(Gender[جنس المستفيد]),0)),
"")</f>
        <v>جامع فكرة بنت سعيد المجدوعي ببلجرشي (منتجع إكرام المسنين)</v>
      </c>
      <c r="J71" s="179" t="str" cm="1">
        <f t="array" ref="J71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الرجال</v>
      </c>
      <c r="K71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14</v>
      </c>
      <c r="L71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700</v>
      </c>
      <c r="M71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6</v>
      </c>
      <c r="N71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71" s="176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9</v>
      </c>
      <c r="P71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86</v>
      </c>
      <c r="Q71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12</v>
      </c>
      <c r="R71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4</v>
      </c>
      <c r="S71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14</v>
      </c>
      <c r="T71" s="4"/>
    </row>
    <row r="72" spans="2:20" x14ac:dyDescent="0.45">
      <c r="B72" s="4"/>
      <c r="C72" s="15"/>
      <c r="D72" s="15"/>
      <c r="E72" s="15"/>
      <c r="F72" s="4"/>
      <c r="G72" s="4"/>
      <c r="H72" s="4"/>
      <c r="I72" s="175" t="str" cm="1">
        <f t="array" ref="I72">IFERROR(
INDEX(Facilities_Masjids[اسم المرفق],
ROUNDUP((ROW()-ROW(Facilities_Masjids_By_Gender[[#Headers],[اسم المرفق]]))/COUNTA(Gender[جنس المستفيد]),0)),
"")</f>
        <v>جامع فكرة بنت سعيد المجدوعي ببلجرشي (منتجع إكرام المسنين)</v>
      </c>
      <c r="J72" s="179" t="str" cm="1">
        <f t="array" ref="J72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النساء</v>
      </c>
      <c r="K72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0</v>
      </c>
      <c r="L72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0</v>
      </c>
      <c r="M72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0</v>
      </c>
      <c r="N72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72" s="176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0</v>
      </c>
      <c r="P72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0</v>
      </c>
      <c r="Q72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0</v>
      </c>
      <c r="R72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0</v>
      </c>
      <c r="S72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0</v>
      </c>
      <c r="T72" s="4"/>
    </row>
    <row r="73" spans="2:20" x14ac:dyDescent="0.45">
      <c r="B73" s="4"/>
      <c r="C73" s="15"/>
      <c r="D73" s="15"/>
      <c r="E73" s="15"/>
      <c r="F73" s="4"/>
      <c r="G73" s="4"/>
      <c r="H73" s="4"/>
      <c r="I73" s="175" t="str" cm="1">
        <f t="array" ref="I73">IFERROR(
INDEX(Facilities_Masjids[اسم المرفق],
ROUNDUP((ROW()-ROW(Facilities_Masjids_By_Gender[[#Headers],[اسم المرفق]]))/COUNTA(Gender[جنس المستفيد]),0)),
"")</f>
        <v>جامع سعيد بن عبد الله المجدوعي ببلجرشي</v>
      </c>
      <c r="J73" s="179" t="str" cm="1">
        <f t="array" ref="J73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الرجال</v>
      </c>
      <c r="K73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0</v>
      </c>
      <c r="L73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0</v>
      </c>
      <c r="M73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0</v>
      </c>
      <c r="N73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73" s="176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0</v>
      </c>
      <c r="P73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0</v>
      </c>
      <c r="Q73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0</v>
      </c>
      <c r="R73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0</v>
      </c>
      <c r="S73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0</v>
      </c>
      <c r="T73" s="4"/>
    </row>
    <row r="74" spans="2:20" x14ac:dyDescent="0.45">
      <c r="B74" s="4"/>
      <c r="C74" s="15"/>
      <c r="D74" s="15"/>
      <c r="E74" s="15"/>
      <c r="F74" s="4"/>
      <c r="G74" s="4"/>
      <c r="H74" s="4"/>
      <c r="I74" s="175" t="str" cm="1">
        <f t="array" ref="I74">IFERROR(
INDEX(Facilities_Masjids[اسم المرفق],
ROUNDUP((ROW()-ROW(Facilities_Masjids_By_Gender[[#Headers],[اسم المرفق]]))/COUNTA(Gender[جنس المستفيد]),0)),
"")</f>
        <v>جامع سعيد بن عبد الله المجدوعي ببلجرشي</v>
      </c>
      <c r="J74" s="179" t="str" cm="1">
        <f t="array" ref="J74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النساء</v>
      </c>
      <c r="K74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0</v>
      </c>
      <c r="L74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0</v>
      </c>
      <c r="M74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0</v>
      </c>
      <c r="N74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74" s="176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0</v>
      </c>
      <c r="P74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0</v>
      </c>
      <c r="Q74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0</v>
      </c>
      <c r="R74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0</v>
      </c>
      <c r="S74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0</v>
      </c>
      <c r="T74" s="4"/>
    </row>
    <row r="75" spans="2:20" x14ac:dyDescent="0.45">
      <c r="B75" s="4"/>
      <c r="C75" s="15"/>
      <c r="D75" s="15"/>
      <c r="E75" s="15"/>
      <c r="F75" s="4"/>
      <c r="G75" s="4"/>
      <c r="H75" s="4"/>
      <c r="I75" s="175" t="str" cm="1">
        <f t="array" ref="I75">IFERROR(
INDEX(Facilities_Masjids[اسم المرفق],
ROUNDUP((ROW()-ROW(Facilities_Masjids_By_Gender[[#Headers],[اسم المرفق]]))/COUNTA(Gender[جنس المستفيد]),0)),
"")</f>
        <v>جامع الشيخ علي بن إبراهيم المجدوعي بمكة المكرمة</v>
      </c>
      <c r="J75" s="179" t="str" cm="1">
        <f t="array" ref="J75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الرجال</v>
      </c>
      <c r="K75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30</v>
      </c>
      <c r="L75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3500</v>
      </c>
      <c r="M75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47</v>
      </c>
      <c r="N75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3</v>
      </c>
      <c r="O75" s="176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55</v>
      </c>
      <c r="P75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1620</v>
      </c>
      <c r="Q75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60</v>
      </c>
      <c r="R75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17</v>
      </c>
      <c r="S75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80</v>
      </c>
      <c r="T75" s="4"/>
    </row>
    <row r="76" spans="2:20" x14ac:dyDescent="0.45">
      <c r="B76" s="4"/>
      <c r="C76" s="15"/>
      <c r="D76" s="15"/>
      <c r="E76" s="15"/>
      <c r="F76" s="4"/>
      <c r="G76" s="4"/>
      <c r="H76" s="4"/>
      <c r="I76" s="175" t="str" cm="1">
        <f t="array" ref="I76">IFERROR(
INDEX(Facilities_Masjids[اسم المرفق],
ROUNDUP((ROW()-ROW(Facilities_Masjids_By_Gender[[#Headers],[اسم المرفق]]))/COUNTA(Gender[جنس المستفيد]),0)),
"")</f>
        <v>جامع الشيخ علي بن إبراهيم المجدوعي بمكة المكرمة</v>
      </c>
      <c r="J76" s="179" t="str" cm="1">
        <f t="array" ref="J76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النساء</v>
      </c>
      <c r="K76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20</v>
      </c>
      <c r="L76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180</v>
      </c>
      <c r="M76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10</v>
      </c>
      <c r="N76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1</v>
      </c>
      <c r="O76" s="176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16</v>
      </c>
      <c r="P76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300</v>
      </c>
      <c r="Q76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3</v>
      </c>
      <c r="R76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10</v>
      </c>
      <c r="S76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20</v>
      </c>
      <c r="T76" s="4"/>
    </row>
    <row r="77" spans="2:20" x14ac:dyDescent="0.45">
      <c r="B77" s="4"/>
      <c r="C77" s="15"/>
      <c r="D77" s="15"/>
      <c r="E77" s="15"/>
      <c r="F77" s="4"/>
      <c r="G77" s="4"/>
      <c r="H77" s="4"/>
      <c r="I77" s="175" t="str" cm="1">
        <f t="array" ref="I77">IFERROR(
INDEX(Facilities_Masjids[اسم المرفق],
ROUNDUP((ROW()-ROW(Facilities_Masjids_By_Gender[[#Headers],[اسم المرفق]]))/COUNTA(Gender[جنس المستفيد]),0)),
"")</f>
        <v>جامع إبراهيم بن صالح المجدوعي بمكة المكرمة</v>
      </c>
      <c r="J77" s="179" t="str" cm="1">
        <f t="array" ref="J77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الرجال</v>
      </c>
      <c r="K77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0</v>
      </c>
      <c r="L77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0</v>
      </c>
      <c r="M77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0</v>
      </c>
      <c r="N77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77" s="176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0</v>
      </c>
      <c r="P77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0</v>
      </c>
      <c r="Q77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0</v>
      </c>
      <c r="R77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0</v>
      </c>
      <c r="S77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0</v>
      </c>
      <c r="T77" s="4"/>
    </row>
    <row r="78" spans="2:20" x14ac:dyDescent="0.45">
      <c r="B78" s="4"/>
      <c r="C78" s="15"/>
      <c r="D78" s="15"/>
      <c r="E78" s="15"/>
      <c r="F78" s="4"/>
      <c r="G78" s="4"/>
      <c r="H78" s="4"/>
      <c r="I78" s="175" t="str" cm="1">
        <f t="array" ref="I78">IFERROR(
INDEX(Facilities_Masjids[اسم المرفق],
ROUNDUP((ROW()-ROW(Facilities_Masjids_By_Gender[[#Headers],[اسم المرفق]]))/COUNTA(Gender[جنس المستفيد]),0)),
"")</f>
        <v>جامع إبراهيم بن صالح المجدوعي بمكة المكرمة</v>
      </c>
      <c r="J78" s="179" t="str" cm="1">
        <f t="array" ref="J78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النساء</v>
      </c>
      <c r="K78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0</v>
      </c>
      <c r="L78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0</v>
      </c>
      <c r="M78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0</v>
      </c>
      <c r="N78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78" s="176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0</v>
      </c>
      <c r="P78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0</v>
      </c>
      <c r="Q78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0</v>
      </c>
      <c r="R78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0</v>
      </c>
      <c r="S78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0</v>
      </c>
      <c r="T78" s="4"/>
    </row>
    <row r="79" spans="2:20" x14ac:dyDescent="0.45">
      <c r="B79" s="4"/>
      <c r="C79" s="15"/>
      <c r="D79" s="15"/>
      <c r="E79" s="15"/>
      <c r="F79" s="4"/>
      <c r="G79" s="4"/>
      <c r="H79" s="4"/>
      <c r="I79" s="175" t="str" cm="1">
        <f t="array" ref="I79">IFERROR(
INDEX(Facilities_Masjids[اسم المرفق],
ROUNDUP((ROW()-ROW(Facilities_Masjids_By_Gender[[#Headers],[اسم المرفق]]))/COUNTA(Gender[جنس المستفيد]),0)),
"")</f>
        <v>جامع أم عبد الله المجدوعي بمكة المكرمة</v>
      </c>
      <c r="J79" s="179" t="str" cm="1">
        <f t="array" ref="J79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الرجال</v>
      </c>
      <c r="K79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0</v>
      </c>
      <c r="L79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0</v>
      </c>
      <c r="M79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0</v>
      </c>
      <c r="N79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79" s="176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0</v>
      </c>
      <c r="P79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0</v>
      </c>
      <c r="Q79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0</v>
      </c>
      <c r="R79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0</v>
      </c>
      <c r="S79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0</v>
      </c>
      <c r="T79" s="4"/>
    </row>
    <row r="80" spans="2:20" x14ac:dyDescent="0.45">
      <c r="B80" s="4"/>
      <c r="C80" s="15"/>
      <c r="D80" s="15"/>
      <c r="E80" s="15"/>
      <c r="F80" s="4"/>
      <c r="G80" s="4"/>
      <c r="H80" s="4"/>
      <c r="I80" s="175" t="str" cm="1">
        <f t="array" ref="I80">IFERROR(
INDEX(Facilities_Masjids[اسم المرفق],
ROUNDUP((ROW()-ROW(Facilities_Masjids_By_Gender[[#Headers],[اسم المرفق]]))/COUNTA(Gender[جنس المستفيد]),0)),
"")</f>
        <v>جامع أم عبد الله المجدوعي بمكة المكرمة</v>
      </c>
      <c r="J80" s="179" t="str" cm="1">
        <f t="array" ref="J80">IF(Facilities_Masjids_By_Gender[[#This Row],[اسم المرفق]]="","",
IFERROR(
INDEX(Gender[جنس المستفيد],
IF(MOD(ROW()-ROW(Facilities_Masjids_By_Gender[[#Headers],[اسم المرفق]]),COUNTA(Gender[جنس المستفيد]))=0,
COUNTA(Gender[جنس المستفيد]),
MOD(ROW()-ROW(Facilities_Masjids_By_Gender[[#Headers],[اسم المرفق]]),COUNTA(Gender[جنس المستفيد])))),
""))</f>
        <v>النساء</v>
      </c>
      <c r="K80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صفوف الرجال],""),
_xlfn.XLOOKUP(Facilities_Masjids_By_Gender[[#This Row],[اسم المرفق]],Facilities_Masjids[اسم المرفق],Facilities_Masjids[عدد صفوف النساء],""))</f>
        <v>0</v>
      </c>
      <c r="L80" s="24">
        <f>IF(Facilities_Masjids_By_Gender[[#This Row],[جنس المستفيد]]=INDEX(Gender[جنس المستفيد],1),
_xlfn.XLOOKUP(Facilities_Masjids_By_Gender[[#This Row],[اسم المرفق]],Facilities_Masjids[اسم المرفق],Facilities_Masjids[سعة المرفق من المصلين],""),
_xlfn.XLOOKUP(Facilities_Masjids_By_Gender[[#This Row],[اسم المرفق]],Facilities_Masjids[اسم المرفق],Facilities_Masjids[سعة المرفق من المصليات],""))</f>
        <v>0</v>
      </c>
      <c r="M80" s="174">
        <f>IF(Facilities_Masjids_By_Gender[[#This Row],[جنس المستفيد]]=INDEX(Gender[جنس المستفيد],1),
_xlfn.XLOOKUP(Facilities_Masjids_By_Gender[[#This Row],[اسم المرفق]],Facilities_Masjids[اسم المرفق],Facilities_Masjids[إجمالي عدد دورات مياه الرجال],""),
_xlfn.XLOOKUP(Facilities_Masjids_By_Gender[[#This Row],[اسم المرفق]],Facilities_Masjids[اسم المرفق],Facilities_Masjids[إجمالي عدد دورات مياه النساء],""))</f>
        <v>0</v>
      </c>
      <c r="N80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دورات مياه المعاقين من الرجال],""),
_xlfn.XLOOKUP(Facilities_Masjids_By_Gender[[#This Row],[اسم المرفق]],Facilities_Masjids[اسم المرفق],Facilities_Masjids[عدد دورات مياه المعاقات من النساء],""))</f>
        <v>0</v>
      </c>
      <c r="O80" s="176">
        <f>IF(Facilities_Masjids_By_Gender[[#This Row],[جنس المستفيد]]=INDEX(Gender[جنس المستفيد],1),
_xlfn.XLOOKUP(Facilities_Masjids_By_Gender[[#This Row],[اسم المرفق]],Facilities_Masjids[اسم المرفق],Facilities_Masjids[عدد مواضئ الرجال],""),
_xlfn.XLOOKUP(Facilities_Masjids_By_Gender[[#This Row],[اسم المرفق]],Facilities_Masjids[اسم المرفق],Facilities_Masjids[عدد مواضئ النساء],""))</f>
        <v>0</v>
      </c>
      <c r="P80" s="174">
        <f>IF(Facilities_Masjids_By_Gender[[#This Row],[جنس المستفيد]]=INDEX(Gender[جنس المستفيد],1),
_xlfn.XLOOKUP(Facilities_Masjids_By_Gender[[#This Row],[اسم المرفق]],Facilities_Masjids[اسم المرفق],Facilities_Masjids[عدد مصاحف الرجال],""),
_xlfn.XLOOKUP(Facilities_Masjids_By_Gender[[#This Row],[اسم المرفق]],Facilities_Masjids[اسم المرفق],Facilities_Masjids[عدد مصاحف النساء],""))</f>
        <v>0</v>
      </c>
      <c r="Q80" s="24">
        <f>IF(Facilities_Masjids_By_Gender[[#This Row],[جنس المستفيد]]=INDEX(Gender[جنس المستفيد],1),
_xlfn.XLOOKUP(Facilities_Masjids_By_Gender[[#This Row],[اسم المرفق]],Facilities_Masjids[اسم المرفق],Facilities_Masjids[عدد حاملات المصاحف للرجال],""),
_xlfn.XLOOKUP(Facilities_Masjids_By_Gender[[#This Row],[اسم المرفق]],Facilities_Masjids[اسم المرفق],Facilities_Masjids[عدد حاملات المصاحف للنساء],""))</f>
        <v>0</v>
      </c>
      <c r="R80" s="182">
        <f>IF(Facilities_Masjids_By_Gender[[#This Row],[جنس المستفيد]]=INDEX(Gender[جنس المستفيد],1),
_xlfn.XLOOKUP(Facilities_Masjids_By_Gender[[#This Row],[اسم المرفق]],Facilities_Masjids[اسم المرفق],Facilities_Masjids[عدد دواليب المصاحف للرجال],""),
_xlfn.XLOOKUP(Facilities_Masjids_By_Gender[[#This Row],[اسم المرفق]],Facilities_Masjids[اسم المرفق],Facilities_Masjids[عدد دواليب المصاحف للنساء],""))</f>
        <v>0</v>
      </c>
      <c r="S80" s="176">
        <f>IF(Facilities_Masjids_By_Gender[[#This Row],[جنس المستفيد]]=INDEX(Gender[جنس المستفيد],1),
_xlfn.XLOOKUP(Facilities_Masjids_By_Gender[[#This Row],[اسم المرفق]],Facilities_Masjids[اسم المرفق],Facilities_Masjids[عدد الكراسي للرجال],""),
_xlfn.XLOOKUP(Facilities_Masjids_By_Gender[[#This Row],[اسم المرفق]],Facilities_Masjids[اسم المرفق],Facilities_Masjids[عدد الكراسي للنساء],""))</f>
        <v>0</v>
      </c>
      <c r="T80" s="4"/>
    </row>
    <row r="81" spans="2:20" x14ac:dyDescent="0.45">
      <c r="B81" s="4"/>
      <c r="C81" s="15"/>
      <c r="D81" s="15"/>
      <c r="E81" s="15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spans="2:20" x14ac:dyDescent="0.45">
      <c r="B82" s="4"/>
      <c r="C82" s="15"/>
      <c r="D82" s="15"/>
      <c r="E82" s="15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spans="2:20" x14ac:dyDescent="0.45">
      <c r="B83" s="4"/>
      <c r="C83" s="15"/>
      <c r="D83" s="15"/>
      <c r="E83" s="15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spans="2:20" x14ac:dyDescent="0.45">
      <c r="B84" s="4"/>
      <c r="C84" s="15"/>
      <c r="D84" s="15"/>
      <c r="E84" s="15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spans="2:20" x14ac:dyDescent="0.45">
      <c r="B85" s="4"/>
      <c r="C85" s="15"/>
      <c r="D85" s="15"/>
      <c r="E85" s="15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spans="2:20" x14ac:dyDescent="0.45">
      <c r="B86" s="4"/>
      <c r="C86" s="15"/>
      <c r="D86" s="15"/>
      <c r="E86" s="15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spans="2:20" x14ac:dyDescent="0.45">
      <c r="B87" s="4"/>
      <c r="C87" s="15"/>
      <c r="D87" s="15"/>
      <c r="E87" s="15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spans="2:20" x14ac:dyDescent="0.45">
      <c r="B88" s="4"/>
      <c r="C88" s="15"/>
      <c r="D88" s="15"/>
      <c r="E88" s="15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spans="2:20" x14ac:dyDescent="0.45">
      <c r="B89" s="4"/>
      <c r="C89" s="15"/>
      <c r="D89" s="15"/>
      <c r="E89" s="15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spans="2:20" x14ac:dyDescent="0.45">
      <c r="B90" s="4"/>
      <c r="C90" s="15"/>
      <c r="D90" s="15"/>
      <c r="E90" s="15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spans="2:20" x14ac:dyDescent="0.45">
      <c r="B91" s="4"/>
      <c r="C91" s="15"/>
      <c r="D91" s="15"/>
      <c r="E91" s="15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spans="2:20" x14ac:dyDescent="0.45">
      <c r="B92" s="4"/>
      <c r="C92" s="15"/>
      <c r="D92" s="15"/>
      <c r="E92" s="15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spans="2:20" x14ac:dyDescent="0.45">
      <c r="B93" s="4"/>
      <c r="C93" s="15"/>
      <c r="D93" s="15"/>
      <c r="E93" s="15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spans="2:20" x14ac:dyDescent="0.45">
      <c r="B94" s="4"/>
      <c r="C94" s="15"/>
      <c r="D94" s="15"/>
      <c r="E94" s="15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spans="2:20" x14ac:dyDescent="0.45">
      <c r="B95" s="4"/>
      <c r="C95" s="15"/>
      <c r="D95" s="15"/>
      <c r="E95" s="15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spans="2:20" x14ac:dyDescent="0.45">
      <c r="B96" s="4"/>
      <c r="C96" s="15"/>
      <c r="D96" s="15"/>
      <c r="E96" s="15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spans="2:20" x14ac:dyDescent="0.45">
      <c r="B97" s="4"/>
      <c r="C97" s="15"/>
      <c r="D97" s="15"/>
      <c r="E97" s="15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spans="2:20" x14ac:dyDescent="0.45">
      <c r="B98" s="4"/>
      <c r="C98" s="15"/>
      <c r="D98" s="15"/>
      <c r="E98" s="15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spans="2:20" x14ac:dyDescent="0.45">
      <c r="B99" s="4"/>
      <c r="C99" s="15"/>
      <c r="D99" s="15"/>
      <c r="E99" s="15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spans="2:20" x14ac:dyDescent="0.45">
      <c r="B100" s="4"/>
      <c r="C100" s="15"/>
      <c r="D100" s="15"/>
      <c r="E100" s="15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spans="2:20" x14ac:dyDescent="0.45">
      <c r="B101" s="4"/>
      <c r="C101" s="15"/>
      <c r="D101" s="15"/>
      <c r="E101" s="15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spans="2:20" x14ac:dyDescent="0.45">
      <c r="B102" s="4"/>
      <c r="C102" s="15"/>
      <c r="D102" s="15"/>
      <c r="E102" s="15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spans="2:20" x14ac:dyDescent="0.45">
      <c r="B103" s="4"/>
      <c r="C103" s="15"/>
      <c r="D103" s="15"/>
      <c r="E103" s="15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spans="2:20" x14ac:dyDescent="0.45">
      <c r="B104" s="4"/>
      <c r="C104" s="15"/>
      <c r="D104" s="15"/>
      <c r="E104" s="15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spans="2:20" x14ac:dyDescent="0.45">
      <c r="B105" s="4"/>
      <c r="C105" s="15"/>
      <c r="D105" s="15"/>
      <c r="E105" s="15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spans="2:20" x14ac:dyDescent="0.45">
      <c r="B106" s="4"/>
      <c r="C106" s="15"/>
      <c r="D106" s="15"/>
      <c r="E106" s="15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spans="2:20" x14ac:dyDescent="0.45">
      <c r="B107" s="4"/>
      <c r="C107" s="15"/>
      <c r="D107" s="15"/>
      <c r="E107" s="15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spans="2:20" x14ac:dyDescent="0.45">
      <c r="B108" s="4"/>
      <c r="C108" s="15"/>
      <c r="D108" s="15"/>
      <c r="E108" s="15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spans="2:20" x14ac:dyDescent="0.45">
      <c r="B109" s="4"/>
      <c r="C109" s="15"/>
      <c r="D109" s="15"/>
      <c r="E109" s="15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spans="2:20" x14ac:dyDescent="0.45">
      <c r="B110" s="4"/>
      <c r="C110" s="15"/>
      <c r="D110" s="15"/>
      <c r="E110" s="15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spans="2:20" x14ac:dyDescent="0.45">
      <c r="B111" s="4"/>
      <c r="C111" s="15"/>
      <c r="D111" s="15"/>
      <c r="E111" s="15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spans="2:20" x14ac:dyDescent="0.45">
      <c r="B112" s="4"/>
      <c r="C112" s="15"/>
      <c r="D112" s="15"/>
      <c r="E112" s="15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spans="2:20" x14ac:dyDescent="0.45">
      <c r="B113" s="4"/>
      <c r="C113" s="15"/>
      <c r="D113" s="15"/>
      <c r="E113" s="15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spans="2:20" x14ac:dyDescent="0.45">
      <c r="B114" s="4"/>
      <c r="C114" s="15"/>
      <c r="D114" s="15"/>
      <c r="E114" s="15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spans="2:20" x14ac:dyDescent="0.45">
      <c r="B115" s="4"/>
      <c r="C115" s="15"/>
      <c r="D115" s="15"/>
      <c r="E115" s="15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spans="2:20" x14ac:dyDescent="0.45">
      <c r="B116" s="4"/>
      <c r="C116" s="15"/>
      <c r="D116" s="15"/>
      <c r="E116" s="15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spans="2:20" x14ac:dyDescent="0.45">
      <c r="B117" s="4"/>
      <c r="C117" s="15"/>
      <c r="D117" s="15"/>
      <c r="E117" s="15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spans="2:20" x14ac:dyDescent="0.45">
      <c r="B118" s="4"/>
      <c r="C118" s="15"/>
      <c r="D118" s="15"/>
      <c r="E118" s="15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spans="2:20" x14ac:dyDescent="0.45">
      <c r="B119" s="4"/>
      <c r="C119" s="15"/>
      <c r="D119" s="15"/>
      <c r="E119" s="15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spans="2:20" x14ac:dyDescent="0.45">
      <c r="B120" s="4"/>
      <c r="C120" s="15"/>
      <c r="D120" s="15"/>
      <c r="E120" s="15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spans="2:20" x14ac:dyDescent="0.45">
      <c r="B121" s="4"/>
      <c r="C121" s="15"/>
      <c r="D121" s="15"/>
      <c r="E121" s="15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spans="2:20" x14ac:dyDescent="0.45">
      <c r="B122" s="4"/>
      <c r="C122" s="15"/>
      <c r="D122" s="15"/>
      <c r="E122" s="15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spans="2:20" x14ac:dyDescent="0.45">
      <c r="B123" s="4"/>
      <c r="C123" s="15"/>
      <c r="D123" s="15"/>
      <c r="E123" s="15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spans="2:20" x14ac:dyDescent="0.45">
      <c r="B124" s="4"/>
      <c r="C124" s="15"/>
      <c r="D124" s="15"/>
      <c r="E124" s="15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spans="2:20" x14ac:dyDescent="0.45">
      <c r="B125" s="4"/>
      <c r="C125" s="15"/>
      <c r="D125" s="15"/>
      <c r="E125" s="15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spans="2:20" x14ac:dyDescent="0.45">
      <c r="B126" s="4"/>
      <c r="C126" s="15"/>
      <c r="D126" s="15"/>
      <c r="E126" s="15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spans="2:20" x14ac:dyDescent="0.45">
      <c r="B127" s="4"/>
      <c r="C127" s="15"/>
      <c r="D127" s="15"/>
      <c r="E127" s="15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spans="2:20" x14ac:dyDescent="0.45">
      <c r="B128" s="4"/>
      <c r="C128" s="15"/>
      <c r="D128" s="15"/>
      <c r="E128" s="15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spans="2:20" x14ac:dyDescent="0.45">
      <c r="B129" s="4"/>
      <c r="C129" s="15"/>
      <c r="D129" s="15"/>
      <c r="E129" s="15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spans="2:20" x14ac:dyDescent="0.45">
      <c r="B130" s="4"/>
      <c r="C130" s="15"/>
      <c r="D130" s="15"/>
      <c r="E130" s="15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spans="2:20" x14ac:dyDescent="0.45">
      <c r="B131" s="4"/>
      <c r="C131" s="15"/>
      <c r="D131" s="15"/>
      <c r="E131" s="15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spans="2:20" x14ac:dyDescent="0.45">
      <c r="B132" s="4"/>
      <c r="C132" s="15"/>
      <c r="D132" s="15"/>
      <c r="E132" s="15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spans="2:20" x14ac:dyDescent="0.45">
      <c r="B133" s="4"/>
      <c r="C133" s="15"/>
      <c r="D133" s="15"/>
      <c r="E133" s="15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spans="2:20" x14ac:dyDescent="0.45">
      <c r="B134" s="4"/>
      <c r="C134" s="15"/>
      <c r="D134" s="15"/>
      <c r="E134" s="15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spans="2:20" x14ac:dyDescent="0.45">
      <c r="B135" s="4"/>
      <c r="C135" s="15"/>
      <c r="D135" s="15"/>
      <c r="E135" s="15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spans="2:20" x14ac:dyDescent="0.45">
      <c r="B136" s="4"/>
      <c r="C136" s="15"/>
      <c r="D136" s="15"/>
      <c r="E136" s="15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 spans="2:20" x14ac:dyDescent="0.45">
      <c r="B137" s="4"/>
      <c r="C137" s="15"/>
      <c r="D137" s="15"/>
      <c r="E137" s="15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 spans="2:20" x14ac:dyDescent="0.45">
      <c r="B138" s="4"/>
      <c r="C138" s="15"/>
      <c r="D138" s="15"/>
      <c r="E138" s="15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spans="2:20" x14ac:dyDescent="0.45">
      <c r="B139" s="4"/>
      <c r="C139" s="15"/>
      <c r="D139" s="15"/>
      <c r="E139" s="15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 spans="2:20" x14ac:dyDescent="0.45">
      <c r="B140" s="4"/>
      <c r="C140" s="15"/>
      <c r="D140" s="15"/>
      <c r="E140" s="15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 spans="2:20" x14ac:dyDescent="0.45">
      <c r="B141" s="4"/>
      <c r="C141" s="15"/>
      <c r="D141" s="15"/>
      <c r="E141" s="15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 spans="2:20" x14ac:dyDescent="0.45">
      <c r="B142" s="4"/>
      <c r="C142" s="15"/>
      <c r="D142" s="15"/>
      <c r="E142" s="15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spans="2:20" x14ac:dyDescent="0.45">
      <c r="B143" s="4"/>
      <c r="C143" s="15"/>
      <c r="D143" s="15"/>
      <c r="E143" s="15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spans="2:20" x14ac:dyDescent="0.45">
      <c r="B144" s="4"/>
      <c r="C144" s="15"/>
      <c r="D144" s="15"/>
      <c r="E144" s="15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spans="2:20" x14ac:dyDescent="0.45">
      <c r="B145" s="4"/>
      <c r="C145" s="15"/>
      <c r="D145" s="15"/>
      <c r="E145" s="15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spans="2:20" x14ac:dyDescent="0.45">
      <c r="B146" s="4"/>
      <c r="C146" s="15"/>
      <c r="D146" s="15"/>
      <c r="E146" s="15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spans="2:20" x14ac:dyDescent="0.45">
      <c r="B147" s="4"/>
      <c r="C147" s="15"/>
      <c r="D147" s="15"/>
      <c r="E147" s="15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spans="2:20" x14ac:dyDescent="0.45">
      <c r="B148" s="4"/>
      <c r="C148" s="15"/>
      <c r="D148" s="15"/>
      <c r="E148" s="15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spans="2:20" x14ac:dyDescent="0.45">
      <c r="B149" s="4"/>
      <c r="C149" s="15"/>
      <c r="D149" s="15"/>
      <c r="E149" s="15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spans="2:20" x14ac:dyDescent="0.45">
      <c r="B150" s="4"/>
      <c r="C150" s="15"/>
      <c r="D150" s="15"/>
      <c r="E150" s="15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spans="2:20" x14ac:dyDescent="0.45">
      <c r="B151" s="4"/>
      <c r="C151" s="15"/>
      <c r="D151" s="15"/>
      <c r="E151" s="15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spans="2:20" x14ac:dyDescent="0.45">
      <c r="B152" s="4"/>
      <c r="C152" s="15"/>
      <c r="D152" s="15"/>
      <c r="E152" s="15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spans="2:20" x14ac:dyDescent="0.45">
      <c r="B153" s="4"/>
      <c r="C153" s="15"/>
      <c r="D153" s="15"/>
      <c r="E153" s="15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spans="2:20" x14ac:dyDescent="0.45">
      <c r="B154" s="4"/>
      <c r="C154" s="15"/>
      <c r="D154" s="15"/>
      <c r="E154" s="15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spans="2:20" x14ac:dyDescent="0.45">
      <c r="B155" s="4"/>
      <c r="C155" s="15"/>
      <c r="D155" s="15"/>
      <c r="E155" s="15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spans="2:20" x14ac:dyDescent="0.45">
      <c r="B156" s="4"/>
      <c r="C156" s="15"/>
      <c r="D156" s="15"/>
      <c r="E156" s="15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spans="2:20" x14ac:dyDescent="0.45">
      <c r="B157" s="4"/>
      <c r="C157" s="15"/>
      <c r="D157" s="15"/>
      <c r="E157" s="15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spans="2:20" x14ac:dyDescent="0.45">
      <c r="B158" s="4"/>
      <c r="C158" s="15"/>
      <c r="D158" s="15"/>
      <c r="E158" s="15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spans="2:20" x14ac:dyDescent="0.45">
      <c r="B159" s="4"/>
      <c r="C159" s="15"/>
      <c r="D159" s="15"/>
      <c r="E159" s="15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spans="2:20" x14ac:dyDescent="0.45">
      <c r="B160" s="4"/>
      <c r="C160" s="15"/>
      <c r="D160" s="15"/>
      <c r="E160" s="15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spans="2:20" x14ac:dyDescent="0.45">
      <c r="B161" s="4"/>
      <c r="C161" s="15"/>
      <c r="D161" s="15"/>
      <c r="E161" s="15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spans="2:20" x14ac:dyDescent="0.45">
      <c r="B162" s="4"/>
      <c r="C162" s="15"/>
      <c r="D162" s="15"/>
      <c r="E162" s="15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spans="2:20" x14ac:dyDescent="0.45">
      <c r="B163" s="4"/>
      <c r="C163" s="15"/>
      <c r="D163" s="15"/>
      <c r="E163" s="15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spans="2:20" x14ac:dyDescent="0.45">
      <c r="B164" s="4"/>
      <c r="C164" s="15"/>
      <c r="D164" s="15"/>
      <c r="E164" s="15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spans="2:20" x14ac:dyDescent="0.45">
      <c r="B165" s="4"/>
      <c r="C165" s="15"/>
      <c r="D165" s="15"/>
      <c r="E165" s="15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spans="2:20" x14ac:dyDescent="0.45">
      <c r="B166" s="4"/>
      <c r="C166" s="15"/>
      <c r="D166" s="15"/>
      <c r="E166" s="15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spans="2:20" x14ac:dyDescent="0.45">
      <c r="B167" s="4"/>
      <c r="C167" s="6"/>
      <c r="D167" s="6"/>
      <c r="E167" s="6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spans="2:20" x14ac:dyDescent="0.45">
      <c r="B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spans="2:20" x14ac:dyDescent="0.45">
      <c r="B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spans="2:20" x14ac:dyDescent="0.45">
      <c r="B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spans="2:20" x14ac:dyDescent="0.45">
      <c r="B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spans="2:20" x14ac:dyDescent="0.45">
      <c r="B172" s="4"/>
      <c r="F172" s="4"/>
      <c r="G172" s="4"/>
      <c r="H172" s="4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4"/>
    </row>
    <row r="173" spans="2:20" x14ac:dyDescent="0.45">
      <c r="B173" s="4"/>
      <c r="F173" s="4"/>
      <c r="G173" s="5"/>
      <c r="H173" s="4"/>
      <c r="T173" s="4"/>
    </row>
    <row r="174" spans="2:20" x14ac:dyDescent="0.45">
      <c r="B174" s="4"/>
      <c r="F174" s="4"/>
      <c r="H174" s="4"/>
      <c r="T174" s="4"/>
    </row>
    <row r="175" spans="2:20" x14ac:dyDescent="0.45">
      <c r="B175" s="4"/>
      <c r="F175" s="4"/>
      <c r="H175" s="4"/>
      <c r="T175" s="4"/>
    </row>
    <row r="176" spans="2:20" x14ac:dyDescent="0.45">
      <c r="B176" s="5"/>
      <c r="F176" s="5"/>
      <c r="H176" s="5"/>
      <c r="T176" s="5"/>
    </row>
  </sheetData>
  <sheetProtection formatCells="0" formatColumns="0" formatRows="0" insertColumns="0" insertRows="0" insertHyperlinks="0" deleteColumns="0" deleteRows="0" sort="0" autoFilter="0" pivotTables="0"/>
  <mergeCells count="5">
    <mergeCell ref="I7:S7"/>
    <mergeCell ref="C7:E7"/>
    <mergeCell ref="C3:E3"/>
    <mergeCell ref="C5:E5"/>
    <mergeCell ref="R3:S3"/>
  </mergeCells>
  <phoneticPr fontId="23" type="noConversion"/>
  <conditionalFormatting sqref="C9:E13">
    <cfRule type="containsBlanks" dxfId="22" priority="11">
      <formula>LEN(TRIM(C9))=0</formula>
    </cfRule>
    <cfRule type="expression" dxfId="21" priority="12">
      <formula>_xlfn.ISFORMULA(C9)=TRUE</formula>
    </cfRule>
  </conditionalFormatting>
  <conditionalFormatting sqref="G9:G10">
    <cfRule type="containsBlanks" dxfId="20" priority="3">
      <formula>LEN(TRIM(G9))=0</formula>
    </cfRule>
    <cfRule type="expression" dxfId="19" priority="4">
      <formula>_xlfn.ISFORMULA(G9)=TRUE</formula>
    </cfRule>
  </conditionalFormatting>
  <conditionalFormatting sqref="I9:S80">
    <cfRule type="expression" dxfId="18" priority="9">
      <formula>_xlfn.ISFORMULA(I9)</formula>
    </cfRule>
    <cfRule type="containsBlanks" dxfId="17" priority="10">
      <formula>LEN(TRIM(I9))=0</formula>
    </cfRule>
  </conditionalFormatting>
  <printOptions horizontalCentered="1"/>
  <pageMargins left="0" right="0" top="0.2" bottom="0.2" header="0" footer="0"/>
  <pageSetup paperSize="9" scale="10" fitToHeight="0" orientation="portrait" r:id="rId1"/>
  <headerFooter differentFirst="1">
    <oddFooter>&amp;C&amp;"Frutiger LT Arabic 45 Light,Regular"&amp;12&amp;K000000صفحة &amp;P من &amp;N</oddFooter>
  </headerFooter>
  <ignoredErrors>
    <ignoredError sqref="G9:G10" calculatedColumn="1"/>
  </ignoredErrors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51117-25E5-48DD-AC2D-8C4B764915E1}">
  <sheetPr>
    <tabColor rgb="FFC00000"/>
    <pageSetUpPr fitToPage="1"/>
  </sheetPr>
  <dimension ref="A1:CT46"/>
  <sheetViews>
    <sheetView rightToLeft="1" topLeftCell="AY1" zoomScale="25" zoomScaleNormal="25" zoomScaleSheetLayoutView="70" workbookViewId="0">
      <selection activeCell="CJ38" sqref="CJ38"/>
    </sheetView>
  </sheetViews>
  <sheetFormatPr defaultColWidth="7.88671875" defaultRowHeight="14.25" customHeight="1" x14ac:dyDescent="0.2"/>
  <cols>
    <col min="1" max="1" width="9.6640625" style="64" bestFit="1" customWidth="1"/>
    <col min="2" max="2" width="15.6640625" style="64" customWidth="1"/>
    <col min="3" max="3" width="9.44140625" style="64" bestFit="1" customWidth="1"/>
    <col min="4" max="4" width="26.77734375" style="64" customWidth="1"/>
    <col min="5" max="5" width="10.33203125" style="64" customWidth="1"/>
    <col min="6" max="6" width="55.44140625" style="64" bestFit="1" customWidth="1"/>
    <col min="7" max="7" width="75.88671875" style="64" bestFit="1" customWidth="1"/>
    <col min="8" max="8" width="14.77734375" style="64" customWidth="1"/>
    <col min="9" max="10" width="23.88671875" style="64" customWidth="1"/>
    <col min="11" max="11" width="16.44140625" style="64" customWidth="1"/>
    <col min="12" max="12" width="14.77734375" style="64" customWidth="1"/>
    <col min="13" max="13" width="16.33203125" style="64" customWidth="1"/>
    <col min="14" max="14" width="16.44140625" style="64" customWidth="1"/>
    <col min="15" max="15" width="18.6640625" style="64" customWidth="1"/>
    <col min="16" max="16" width="16" style="64" customWidth="1"/>
    <col min="17" max="17" width="15" style="64" customWidth="1"/>
    <col min="18" max="19" width="18.77734375" style="64" customWidth="1"/>
    <col min="20" max="20" width="22.6640625" style="64" customWidth="1"/>
    <col min="21" max="21" width="24.44140625" style="64" customWidth="1"/>
    <col min="22" max="22" width="13.77734375" style="64" customWidth="1"/>
    <col min="23" max="23" width="16.33203125" style="64" customWidth="1"/>
    <col min="24" max="24" width="17.33203125" style="64" customWidth="1"/>
    <col min="25" max="25" width="12.44140625" style="64" customWidth="1"/>
    <col min="26" max="26" width="13.6640625" style="64" customWidth="1"/>
    <col min="27" max="27" width="13.44140625" style="64" customWidth="1"/>
    <col min="28" max="29" width="17.44140625" style="64" customWidth="1"/>
    <col min="30" max="30" width="14.44140625" style="64" customWidth="1"/>
    <col min="31" max="32" width="13.44140625" style="64" customWidth="1"/>
    <col min="33" max="33" width="17.44140625" style="64" customWidth="1"/>
    <col min="34" max="39" width="13.44140625" style="64" customWidth="1"/>
    <col min="40" max="40" width="12.44140625" style="64" customWidth="1"/>
    <col min="41" max="41" width="15" style="64" bestFit="1" customWidth="1"/>
    <col min="42" max="42" width="23.88671875" style="64" customWidth="1"/>
    <col min="43" max="43" width="23.21875" style="64" bestFit="1" customWidth="1"/>
    <col min="44" max="44" width="21" style="64" bestFit="1" customWidth="1"/>
    <col min="45" max="45" width="15" style="171" customWidth="1"/>
    <col min="46" max="46" width="18.21875" style="171" customWidth="1"/>
    <col min="47" max="47" width="19.21875" style="171" bestFit="1" customWidth="1"/>
    <col min="48" max="48" width="36.33203125" style="64" bestFit="1" customWidth="1"/>
    <col min="49" max="50" width="16.109375" style="64" bestFit="1" customWidth="1"/>
    <col min="51" max="51" width="18.77734375" style="64" bestFit="1" customWidth="1"/>
    <col min="52" max="52" width="23.6640625" style="64" bestFit="1" customWidth="1"/>
    <col min="53" max="53" width="16.44140625" style="64" customWidth="1"/>
    <col min="54" max="54" width="17.77734375" style="64" bestFit="1" customWidth="1"/>
    <col min="55" max="55" width="30.44140625" style="64" bestFit="1" customWidth="1"/>
    <col min="56" max="57" width="16.109375" style="64" bestFit="1" customWidth="1"/>
    <col min="58" max="58" width="17" style="64" bestFit="1" customWidth="1"/>
    <col min="59" max="59" width="17.21875" style="64" customWidth="1"/>
    <col min="60" max="60" width="22.21875" style="64" customWidth="1"/>
    <col min="61" max="61" width="17.44140625" style="64" customWidth="1"/>
    <col min="62" max="62" width="18.6640625" style="64" customWidth="1"/>
    <col min="63" max="63" width="30.44140625" style="64" customWidth="1"/>
    <col min="64" max="65" width="16.109375" style="64" customWidth="1"/>
    <col min="66" max="66" width="18.21875" style="64" customWidth="1"/>
    <col min="67" max="67" width="17.21875" style="64" customWidth="1"/>
    <col min="68" max="68" width="23.109375" style="64" customWidth="1"/>
    <col min="69" max="69" width="18.77734375" style="64" customWidth="1"/>
    <col min="70" max="70" width="20" style="64" bestFit="1" customWidth="1"/>
    <col min="71" max="73" width="16.109375" style="64" bestFit="1" customWidth="1"/>
    <col min="74" max="74" width="20.44140625" style="64" bestFit="1" customWidth="1"/>
    <col min="75" max="75" width="23.6640625" style="64" bestFit="1" customWidth="1"/>
    <col min="76" max="76" width="15.44140625" style="64" bestFit="1" customWidth="1"/>
    <col min="77" max="77" width="15.109375" style="64" bestFit="1" customWidth="1"/>
    <col min="78" max="78" width="13" style="64" bestFit="1" customWidth="1"/>
    <col min="79" max="79" width="11.6640625" style="64" bestFit="1" customWidth="1"/>
    <col min="80" max="80" width="12.88671875" style="64" bestFit="1" customWidth="1"/>
    <col min="81" max="81" width="13.21875" style="64" bestFit="1" customWidth="1"/>
    <col min="82" max="82" width="15.6640625" style="64" bestFit="1" customWidth="1"/>
    <col min="83" max="83" width="13.6640625" style="64" bestFit="1" customWidth="1"/>
    <col min="84" max="84" width="13.88671875" style="64" bestFit="1" customWidth="1"/>
    <col min="85" max="85" width="12.33203125" style="64" bestFit="1" customWidth="1"/>
    <col min="86" max="86" width="7.88671875" style="64"/>
    <col min="87" max="87" width="24.109375" style="64" bestFit="1" customWidth="1"/>
    <col min="88" max="88" width="20.109375" style="64" customWidth="1"/>
    <col min="89" max="89" width="11.109375" style="64" bestFit="1" customWidth="1"/>
    <col min="90" max="90" width="13.44140625" style="64" bestFit="1" customWidth="1"/>
    <col min="91" max="91" width="12.33203125" style="64" bestFit="1" customWidth="1"/>
    <col min="92" max="92" width="14.44140625" style="64" bestFit="1" customWidth="1"/>
    <col min="93" max="93" width="29.44140625" style="64" bestFit="1" customWidth="1"/>
    <col min="94" max="94" width="22.77734375" style="64" bestFit="1" customWidth="1"/>
    <col min="95" max="95" width="7.88671875" style="64"/>
    <col min="96" max="96" width="11.109375" style="64" bestFit="1" customWidth="1"/>
    <col min="97" max="97" width="7.88671875" style="64"/>
    <col min="98" max="98" width="15.44140625" style="64" bestFit="1" customWidth="1"/>
    <col min="99" max="16384" width="7.88671875" style="64"/>
  </cols>
  <sheetData>
    <row r="1" spans="1:98" ht="66" customHeight="1" x14ac:dyDescent="0.2">
      <c r="A1" s="241" t="s">
        <v>529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  <c r="U1" s="242"/>
      <c r="V1" s="242"/>
      <c r="W1" s="242"/>
      <c r="X1" s="242"/>
      <c r="Y1" s="242"/>
      <c r="Z1" s="242"/>
      <c r="AA1" s="242"/>
      <c r="AB1" s="242"/>
      <c r="AC1" s="242"/>
      <c r="AD1" s="242"/>
      <c r="AE1" s="242"/>
      <c r="AF1" s="242"/>
      <c r="AG1" s="242"/>
      <c r="AH1" s="242"/>
      <c r="AI1" s="242"/>
      <c r="AJ1" s="242"/>
      <c r="AK1" s="242"/>
      <c r="AL1" s="242"/>
      <c r="AM1" s="242"/>
      <c r="AN1" s="242"/>
      <c r="AO1" s="242"/>
      <c r="AP1" s="242"/>
      <c r="AQ1" s="242"/>
      <c r="AR1" s="242"/>
      <c r="AS1" s="242"/>
      <c r="AT1" s="242"/>
      <c r="AU1" s="242"/>
      <c r="AV1" s="242"/>
      <c r="AW1" s="242"/>
      <c r="AX1" s="242"/>
      <c r="AY1" s="242"/>
      <c r="AZ1" s="242"/>
      <c r="BA1" s="242"/>
      <c r="BB1" s="242"/>
      <c r="BC1" s="242"/>
      <c r="BD1" s="242"/>
      <c r="BE1" s="242"/>
      <c r="BF1" s="242"/>
      <c r="BG1" s="242"/>
      <c r="BH1" s="242"/>
      <c r="BI1" s="242"/>
      <c r="BJ1" s="242"/>
      <c r="BK1" s="242"/>
      <c r="BL1" s="242"/>
      <c r="BM1" s="243"/>
      <c r="BN1" s="63"/>
      <c r="BO1" s="63"/>
      <c r="BP1" s="63"/>
      <c r="BQ1" s="63"/>
      <c r="BR1" s="63"/>
      <c r="BS1" s="63"/>
      <c r="BT1" s="63"/>
      <c r="BU1" s="63"/>
      <c r="BV1" s="63"/>
      <c r="BW1" s="63"/>
    </row>
    <row r="2" spans="1:98" ht="26.1" customHeight="1" thickBot="1" x14ac:dyDescent="0.25">
      <c r="A2" s="65"/>
      <c r="B2" s="66"/>
      <c r="C2" s="66"/>
      <c r="D2" s="66"/>
      <c r="E2" s="66"/>
      <c r="F2" s="66"/>
      <c r="G2" s="66"/>
      <c r="H2" s="66"/>
      <c r="I2" s="66"/>
      <c r="J2" s="66"/>
      <c r="K2" s="244" t="s">
        <v>530</v>
      </c>
      <c r="L2" s="244"/>
      <c r="M2" s="244"/>
      <c r="N2" s="245">
        <v>45566</v>
      </c>
      <c r="O2" s="245"/>
      <c r="P2" s="245"/>
      <c r="Q2" s="67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245"/>
      <c r="AQ2" s="245"/>
      <c r="AR2" s="245"/>
      <c r="AS2" s="66"/>
      <c r="AT2" s="66"/>
      <c r="AU2" s="66"/>
      <c r="AV2" s="66"/>
      <c r="AW2" s="66"/>
      <c r="AX2" s="66"/>
      <c r="AY2" s="66"/>
      <c r="AZ2" s="66"/>
      <c r="BA2" s="66"/>
      <c r="BB2" s="66"/>
      <c r="BC2" s="66"/>
      <c r="BD2" s="66"/>
      <c r="BE2" s="66"/>
      <c r="BF2" s="66"/>
      <c r="BG2" s="66"/>
      <c r="BH2" s="66"/>
      <c r="BI2" s="66"/>
      <c r="BJ2" s="66"/>
      <c r="BK2" s="66"/>
      <c r="BL2" s="66"/>
      <c r="BM2" s="69"/>
      <c r="BN2" s="66"/>
      <c r="BO2" s="66"/>
      <c r="BP2" s="66"/>
      <c r="BQ2" s="66"/>
      <c r="BR2" s="66"/>
      <c r="BS2" s="66"/>
      <c r="BT2" s="66"/>
      <c r="BU2" s="69"/>
      <c r="BV2" s="66"/>
      <c r="BW2" s="66"/>
    </row>
    <row r="3" spans="1:98" ht="22.35" customHeight="1" x14ac:dyDescent="0.2">
      <c r="A3" s="246" t="s">
        <v>531</v>
      </c>
      <c r="B3" s="234" t="s">
        <v>532</v>
      </c>
      <c r="C3" s="234" t="s">
        <v>22</v>
      </c>
      <c r="D3" s="234" t="s">
        <v>23</v>
      </c>
      <c r="E3" s="234" t="s">
        <v>533</v>
      </c>
      <c r="F3" s="234" t="s">
        <v>534</v>
      </c>
      <c r="G3" s="70"/>
      <c r="H3" s="236" t="s">
        <v>535</v>
      </c>
      <c r="I3" s="234" t="s">
        <v>31</v>
      </c>
      <c r="J3" s="234" t="s">
        <v>32</v>
      </c>
      <c r="K3" s="236" t="s">
        <v>536</v>
      </c>
      <c r="L3" s="237" t="s">
        <v>537</v>
      </c>
      <c r="M3" s="237"/>
      <c r="N3" s="237"/>
      <c r="O3" s="237"/>
      <c r="P3" s="237"/>
      <c r="Q3" s="237"/>
      <c r="R3" s="237"/>
      <c r="S3" s="237"/>
      <c r="T3" s="237"/>
      <c r="U3" s="237"/>
      <c r="V3" s="237"/>
      <c r="W3" s="237"/>
      <c r="X3" s="237"/>
      <c r="Y3" s="237"/>
      <c r="Z3" s="237"/>
      <c r="AA3" s="237"/>
      <c r="AB3" s="237"/>
      <c r="AC3" s="237"/>
      <c r="AD3" s="237"/>
      <c r="AE3" s="237"/>
      <c r="AF3" s="237"/>
      <c r="AG3" s="237"/>
      <c r="AH3" s="237"/>
      <c r="AI3" s="237"/>
      <c r="AJ3" s="237"/>
      <c r="AK3" s="237"/>
      <c r="AL3" s="237"/>
      <c r="AM3" s="237"/>
      <c r="AN3" s="220" t="s">
        <v>538</v>
      </c>
      <c r="AO3" s="223" t="s">
        <v>539</v>
      </c>
      <c r="AP3" s="226" t="s">
        <v>540</v>
      </c>
      <c r="AQ3" s="226"/>
      <c r="AR3" s="226"/>
      <c r="AS3" s="227" t="s">
        <v>541</v>
      </c>
      <c r="AT3" s="230" t="s">
        <v>542</v>
      </c>
      <c r="AU3" s="231"/>
      <c r="AV3" s="231"/>
      <c r="AW3" s="231"/>
      <c r="AX3" s="231"/>
      <c r="AY3" s="231"/>
      <c r="AZ3" s="232"/>
      <c r="BA3" s="233" t="s">
        <v>543</v>
      </c>
      <c r="BB3" s="231"/>
      <c r="BC3" s="231"/>
      <c r="BD3" s="231"/>
      <c r="BE3" s="231"/>
      <c r="BF3" s="231"/>
      <c r="BG3" s="231"/>
      <c r="BH3" s="232"/>
      <c r="BI3" s="233" t="s">
        <v>544</v>
      </c>
      <c r="BJ3" s="231"/>
      <c r="BK3" s="231"/>
      <c r="BL3" s="231"/>
      <c r="BM3" s="231"/>
      <c r="BN3" s="231"/>
      <c r="BO3" s="231"/>
      <c r="BP3" s="232"/>
      <c r="BQ3" s="210" t="s">
        <v>545</v>
      </c>
      <c r="BR3" s="211"/>
      <c r="BS3" s="211"/>
      <c r="BT3" s="211"/>
      <c r="BU3" s="211"/>
      <c r="BV3" s="211"/>
      <c r="BW3" s="212"/>
      <c r="BX3" s="213" t="s">
        <v>546</v>
      </c>
      <c r="BY3" s="214"/>
      <c r="BZ3" s="214"/>
      <c r="CA3" s="214"/>
      <c r="CB3" s="214"/>
      <c r="CC3" s="214"/>
      <c r="CD3" s="214"/>
      <c r="CE3" s="214"/>
      <c r="CF3" s="214"/>
      <c r="CG3" s="214"/>
    </row>
    <row r="4" spans="1:98" ht="21" customHeight="1" x14ac:dyDescent="0.2">
      <c r="A4" s="216"/>
      <c r="B4" s="235"/>
      <c r="C4" s="235"/>
      <c r="D4" s="235"/>
      <c r="E4" s="235"/>
      <c r="F4" s="235"/>
      <c r="G4" s="71"/>
      <c r="H4" s="235"/>
      <c r="I4" s="235"/>
      <c r="J4" s="235"/>
      <c r="K4" s="235"/>
      <c r="L4" s="215" t="s">
        <v>547</v>
      </c>
      <c r="M4" s="217" t="s">
        <v>548</v>
      </c>
      <c r="N4" s="217" t="s">
        <v>549</v>
      </c>
      <c r="O4" s="217" t="s">
        <v>550</v>
      </c>
      <c r="P4" s="217" t="s">
        <v>551</v>
      </c>
      <c r="Q4" s="217" t="s">
        <v>552</v>
      </c>
      <c r="R4" s="217" t="s">
        <v>553</v>
      </c>
      <c r="S4" s="217" t="s">
        <v>554</v>
      </c>
      <c r="T4" s="238" t="s">
        <v>555</v>
      </c>
      <c r="U4" s="238"/>
      <c r="V4" s="217" t="s">
        <v>556</v>
      </c>
      <c r="W4" s="238" t="s">
        <v>557</v>
      </c>
      <c r="X4" s="238"/>
      <c r="Y4" s="217" t="s">
        <v>558</v>
      </c>
      <c r="Z4" s="217" t="s">
        <v>559</v>
      </c>
      <c r="AA4" s="238" t="s">
        <v>560</v>
      </c>
      <c r="AB4" s="238"/>
      <c r="AC4" s="238"/>
      <c r="AD4" s="238"/>
      <c r="AE4" s="238" t="s">
        <v>561</v>
      </c>
      <c r="AF4" s="238"/>
      <c r="AG4" s="238"/>
      <c r="AH4" s="238"/>
      <c r="AI4" s="73"/>
      <c r="AJ4" s="73"/>
      <c r="AK4" s="73"/>
      <c r="AL4" s="73"/>
      <c r="AM4" s="73"/>
      <c r="AN4" s="221"/>
      <c r="AO4" s="224"/>
      <c r="AP4" s="239" t="s">
        <v>562</v>
      </c>
      <c r="AQ4" s="239" t="s">
        <v>563</v>
      </c>
      <c r="AR4" s="239" t="s">
        <v>564</v>
      </c>
      <c r="AS4" s="228"/>
      <c r="AT4" s="208" t="s">
        <v>565</v>
      </c>
      <c r="AU4" s="74"/>
      <c r="AV4" s="208" t="s">
        <v>562</v>
      </c>
      <c r="AW4" s="200" t="s">
        <v>564</v>
      </c>
      <c r="AX4" s="200" t="s">
        <v>563</v>
      </c>
      <c r="AY4" s="208" t="s">
        <v>566</v>
      </c>
      <c r="AZ4" s="206" t="s">
        <v>567</v>
      </c>
      <c r="BA4" s="208" t="s">
        <v>565</v>
      </c>
      <c r="BB4" s="75"/>
      <c r="BC4" s="200" t="s">
        <v>562</v>
      </c>
      <c r="BD4" s="200" t="s">
        <v>564</v>
      </c>
      <c r="BE4" s="200" t="s">
        <v>563</v>
      </c>
      <c r="BF4" s="208" t="s">
        <v>568</v>
      </c>
      <c r="BG4" s="208" t="s">
        <v>569</v>
      </c>
      <c r="BH4" s="206" t="s">
        <v>567</v>
      </c>
      <c r="BI4" s="208" t="s">
        <v>565</v>
      </c>
      <c r="BJ4" s="75"/>
      <c r="BK4" s="200" t="s">
        <v>562</v>
      </c>
      <c r="BL4" s="200" t="s">
        <v>564</v>
      </c>
      <c r="BM4" s="202" t="s">
        <v>563</v>
      </c>
      <c r="BN4" s="208" t="s">
        <v>570</v>
      </c>
      <c r="BO4" s="208" t="s">
        <v>569</v>
      </c>
      <c r="BP4" s="206" t="s">
        <v>567</v>
      </c>
      <c r="BQ4" s="208" t="s">
        <v>565</v>
      </c>
      <c r="BR4" s="75"/>
      <c r="BS4" s="200" t="s">
        <v>562</v>
      </c>
      <c r="BT4" s="200" t="s">
        <v>564</v>
      </c>
      <c r="BU4" s="202" t="s">
        <v>563</v>
      </c>
      <c r="BV4" s="204" t="s">
        <v>571</v>
      </c>
      <c r="BW4" s="206" t="s">
        <v>567</v>
      </c>
      <c r="BX4" s="213"/>
      <c r="BY4" s="214"/>
      <c r="BZ4" s="214"/>
      <c r="CA4" s="214"/>
      <c r="CB4" s="214"/>
      <c r="CC4" s="214"/>
      <c r="CD4" s="214"/>
      <c r="CE4" s="214"/>
      <c r="CF4" s="214"/>
      <c r="CG4" s="214"/>
    </row>
    <row r="5" spans="1:98" ht="42" customHeight="1" x14ac:dyDescent="0.2">
      <c r="A5" s="216"/>
      <c r="B5" s="235"/>
      <c r="C5" s="235"/>
      <c r="D5" s="235"/>
      <c r="E5" s="235"/>
      <c r="F5" s="235"/>
      <c r="G5" s="71"/>
      <c r="H5" s="235"/>
      <c r="I5" s="235"/>
      <c r="J5" s="235"/>
      <c r="K5" s="235"/>
      <c r="L5" s="216"/>
      <c r="M5" s="218"/>
      <c r="N5" s="218"/>
      <c r="O5" s="219"/>
      <c r="P5" s="218"/>
      <c r="Q5" s="218"/>
      <c r="R5" s="218"/>
      <c r="S5" s="218"/>
      <c r="T5" s="72" t="s">
        <v>572</v>
      </c>
      <c r="U5" s="72" t="s">
        <v>573</v>
      </c>
      <c r="V5" s="218"/>
      <c r="W5" s="72" t="s">
        <v>572</v>
      </c>
      <c r="X5" s="72" t="s">
        <v>573</v>
      </c>
      <c r="Y5" s="218"/>
      <c r="Z5" s="219"/>
      <c r="AA5" s="76" t="s">
        <v>574</v>
      </c>
      <c r="AB5" s="76" t="s">
        <v>575</v>
      </c>
      <c r="AC5" s="76" t="s">
        <v>576</v>
      </c>
      <c r="AD5" s="76" t="s">
        <v>577</v>
      </c>
      <c r="AE5" s="76" t="s">
        <v>574</v>
      </c>
      <c r="AF5" s="76" t="s">
        <v>576</v>
      </c>
      <c r="AG5" s="76" t="s">
        <v>575</v>
      </c>
      <c r="AH5" s="76" t="s">
        <v>577</v>
      </c>
      <c r="AI5" s="76" t="s">
        <v>37</v>
      </c>
      <c r="AJ5" s="76" t="s">
        <v>38</v>
      </c>
      <c r="AK5" s="76" t="s">
        <v>578</v>
      </c>
      <c r="AL5" s="76" t="s">
        <v>579</v>
      </c>
      <c r="AM5" s="76" t="s">
        <v>580</v>
      </c>
      <c r="AN5" s="222"/>
      <c r="AO5" s="225"/>
      <c r="AP5" s="240"/>
      <c r="AQ5" s="240"/>
      <c r="AR5" s="240"/>
      <c r="AS5" s="229"/>
      <c r="AT5" s="209"/>
      <c r="AU5" s="77"/>
      <c r="AV5" s="209"/>
      <c r="AW5" s="201"/>
      <c r="AX5" s="201"/>
      <c r="AY5" s="209"/>
      <c r="AZ5" s="207"/>
      <c r="BA5" s="209"/>
      <c r="BB5" s="78"/>
      <c r="BC5" s="201"/>
      <c r="BD5" s="201"/>
      <c r="BE5" s="201"/>
      <c r="BF5" s="209"/>
      <c r="BG5" s="209"/>
      <c r="BH5" s="207"/>
      <c r="BI5" s="209"/>
      <c r="BJ5" s="78"/>
      <c r="BK5" s="201"/>
      <c r="BL5" s="201"/>
      <c r="BM5" s="203"/>
      <c r="BN5" s="209"/>
      <c r="BO5" s="209"/>
      <c r="BP5" s="207"/>
      <c r="BQ5" s="209"/>
      <c r="BR5" s="78"/>
      <c r="BS5" s="201"/>
      <c r="BT5" s="201"/>
      <c r="BU5" s="203"/>
      <c r="BV5" s="205"/>
      <c r="BW5" s="207"/>
      <c r="BX5" s="213"/>
      <c r="BY5" s="214"/>
      <c r="BZ5" s="214"/>
      <c r="CA5" s="214"/>
      <c r="CB5" s="214"/>
      <c r="CC5" s="214"/>
      <c r="CD5" s="214"/>
      <c r="CE5" s="214"/>
      <c r="CF5" s="214"/>
      <c r="CG5" s="214"/>
      <c r="CI5" s="79" t="s">
        <v>581</v>
      </c>
      <c r="CJ5" s="79" t="s">
        <v>567</v>
      </c>
      <c r="CK5" s="79" t="s">
        <v>582</v>
      </c>
      <c r="CL5" s="79" t="s">
        <v>583</v>
      </c>
      <c r="CM5" s="79" t="s">
        <v>584</v>
      </c>
      <c r="CN5" s="79" t="s">
        <v>585</v>
      </c>
      <c r="CO5" s="79" t="s">
        <v>586</v>
      </c>
      <c r="CP5" s="79" t="s">
        <v>587</v>
      </c>
      <c r="CR5" s="80" t="s">
        <v>582</v>
      </c>
      <c r="CT5" s="79" t="s">
        <v>567</v>
      </c>
    </row>
    <row r="6" spans="1:98" s="107" customFormat="1" ht="40.35" customHeight="1" x14ac:dyDescent="0.2">
      <c r="A6" s="81" t="s">
        <v>19</v>
      </c>
      <c r="B6" s="82" t="s">
        <v>532</v>
      </c>
      <c r="C6" s="83" t="s">
        <v>22</v>
      </c>
      <c r="D6" s="83" t="s">
        <v>23</v>
      </c>
      <c r="E6" s="83" t="s">
        <v>533</v>
      </c>
      <c r="F6" s="84" t="s">
        <v>534</v>
      </c>
      <c r="G6" s="85" t="s">
        <v>588</v>
      </c>
      <c r="H6" s="86" t="s">
        <v>589</v>
      </c>
      <c r="I6" s="87" t="s">
        <v>31</v>
      </c>
      <c r="J6" s="87" t="s">
        <v>32</v>
      </c>
      <c r="K6" s="88" t="s">
        <v>590</v>
      </c>
      <c r="L6" s="89" t="s">
        <v>547</v>
      </c>
      <c r="M6" s="90" t="s">
        <v>591</v>
      </c>
      <c r="N6" s="85" t="s">
        <v>592</v>
      </c>
      <c r="O6" s="90" t="s">
        <v>550</v>
      </c>
      <c r="P6" s="85" t="s">
        <v>593</v>
      </c>
      <c r="Q6" s="85" t="s">
        <v>594</v>
      </c>
      <c r="R6" s="85" t="s">
        <v>553</v>
      </c>
      <c r="S6" s="91" t="s">
        <v>554</v>
      </c>
      <c r="T6" s="92" t="s">
        <v>595</v>
      </c>
      <c r="U6" s="92" t="s">
        <v>596</v>
      </c>
      <c r="V6" s="93" t="s">
        <v>597</v>
      </c>
      <c r="W6" s="93" t="s">
        <v>557</v>
      </c>
      <c r="X6" s="94" t="s">
        <v>598</v>
      </c>
      <c r="Y6" s="93" t="s">
        <v>558</v>
      </c>
      <c r="Z6" s="95" t="s">
        <v>559</v>
      </c>
      <c r="AA6" s="95" t="s">
        <v>599</v>
      </c>
      <c r="AB6" s="95" t="s">
        <v>600</v>
      </c>
      <c r="AC6" s="95" t="s">
        <v>601</v>
      </c>
      <c r="AD6" s="95" t="s">
        <v>602</v>
      </c>
      <c r="AE6" s="95" t="s">
        <v>603</v>
      </c>
      <c r="AF6" s="95" t="s">
        <v>604</v>
      </c>
      <c r="AG6" s="95" t="s">
        <v>605</v>
      </c>
      <c r="AH6" s="95" t="s">
        <v>606</v>
      </c>
      <c r="AI6" s="96" t="s">
        <v>37</v>
      </c>
      <c r="AJ6" s="96" t="s">
        <v>38</v>
      </c>
      <c r="AK6" s="96" t="s">
        <v>578</v>
      </c>
      <c r="AL6" s="96" t="s">
        <v>579</v>
      </c>
      <c r="AM6" s="96" t="s">
        <v>580</v>
      </c>
      <c r="AN6" s="97" t="s">
        <v>538</v>
      </c>
      <c r="AO6" s="98" t="s">
        <v>539</v>
      </c>
      <c r="AP6" s="99" t="s">
        <v>607</v>
      </c>
      <c r="AQ6" s="99" t="s">
        <v>608</v>
      </c>
      <c r="AR6" s="99" t="s">
        <v>609</v>
      </c>
      <c r="AS6" s="100" t="s">
        <v>610</v>
      </c>
      <c r="AT6" s="101" t="s">
        <v>611</v>
      </c>
      <c r="AU6" s="101" t="s">
        <v>612</v>
      </c>
      <c r="AV6" s="102" t="s">
        <v>613</v>
      </c>
      <c r="AW6" s="98" t="s">
        <v>614</v>
      </c>
      <c r="AX6" s="98" t="s">
        <v>615</v>
      </c>
      <c r="AY6" s="98" t="s">
        <v>566</v>
      </c>
      <c r="AZ6" s="98" t="s">
        <v>616</v>
      </c>
      <c r="BA6" s="98" t="s">
        <v>617</v>
      </c>
      <c r="BB6" s="98" t="s">
        <v>618</v>
      </c>
      <c r="BC6" s="98" t="s">
        <v>619</v>
      </c>
      <c r="BD6" s="98" t="s">
        <v>620</v>
      </c>
      <c r="BE6" s="98" t="s">
        <v>621</v>
      </c>
      <c r="BF6" s="98" t="s">
        <v>568</v>
      </c>
      <c r="BG6" s="98" t="s">
        <v>622</v>
      </c>
      <c r="BH6" s="98" t="s">
        <v>623</v>
      </c>
      <c r="BI6" s="98" t="s">
        <v>624</v>
      </c>
      <c r="BJ6" s="98" t="s">
        <v>625</v>
      </c>
      <c r="BK6" s="98" t="s">
        <v>626</v>
      </c>
      <c r="BL6" s="98" t="s">
        <v>627</v>
      </c>
      <c r="BM6" s="103" t="s">
        <v>628</v>
      </c>
      <c r="BN6" s="104" t="s">
        <v>570</v>
      </c>
      <c r="BO6" s="104" t="s">
        <v>629</v>
      </c>
      <c r="BP6" s="104" t="s">
        <v>630</v>
      </c>
      <c r="BQ6" s="105" t="s">
        <v>631</v>
      </c>
      <c r="BR6" s="105" t="s">
        <v>632</v>
      </c>
      <c r="BS6" s="98" t="s">
        <v>633</v>
      </c>
      <c r="BT6" s="98" t="s">
        <v>634</v>
      </c>
      <c r="BU6" s="104" t="s">
        <v>635</v>
      </c>
      <c r="BV6" s="105" t="s">
        <v>571</v>
      </c>
      <c r="BW6" s="105" t="s">
        <v>636</v>
      </c>
      <c r="BX6" s="106" t="s">
        <v>637</v>
      </c>
      <c r="BY6" s="106" t="s">
        <v>638</v>
      </c>
      <c r="BZ6" s="106" t="s">
        <v>639</v>
      </c>
      <c r="CA6" s="106" t="s">
        <v>640</v>
      </c>
      <c r="CB6" s="106" t="s">
        <v>641</v>
      </c>
      <c r="CC6" s="106" t="s">
        <v>642</v>
      </c>
      <c r="CD6" s="106" t="s">
        <v>643</v>
      </c>
      <c r="CE6" s="106" t="s">
        <v>644</v>
      </c>
      <c r="CF6" s="106" t="s">
        <v>645</v>
      </c>
      <c r="CG6" s="106" t="s">
        <v>646</v>
      </c>
      <c r="CI6" s="108" t="s">
        <v>647</v>
      </c>
      <c r="CJ6" s="108" t="s">
        <v>648</v>
      </c>
      <c r="CK6" s="108" t="s">
        <v>649</v>
      </c>
      <c r="CL6" s="108">
        <f>IF(ManarahStaffCategories[[#This Row],[الجنسية]]=INDEX(ManarahStaffNationalities[الجنسية],1),
SUMIF(MasajidDB[مصدر مكافأة الخطيب],ManarahStaffCategories[[#This Row],[مصدر المكافأة]],MasajidDB[جنسية الخطيب]),
COUNTIF(MasajidDB[مصدر مكافأة الخطيب],ManarahStaffCategories[[#This Row],[مصدر المكافأة]])-SUMIF(MasajidDB[مصدر مكافأة الخطيب],ManarahStaffCategories[[#This Row],[مصدر المكافأة]],MasajidDB[جنسية الخطيب]))</f>
        <v>7</v>
      </c>
      <c r="CM6" s="108">
        <f>IF(ManarahStaffCategories[[#This Row],[الجنسية]]=INDEX(ManarahStaffNationalities[الجنسية],1),
SUMIF(MasajidDB[مصدر مكافأة الإمام],ManarahStaffCategories[[#This Row],[مصدر المكافأة]],MasajidDB[جنسية الإمام]),
COUNTIF(MasajidDB[مصدر مكافأة الإمام],ManarahStaffCategories[[#This Row],[مصدر المكافأة]])-SUMIF(MasajidDB[مصدر مكافأة الإمام],ManarahStaffCategories[[#This Row],[مصدر المكافأة]],MasajidDB[جنسية الإمام]))</f>
        <v>5</v>
      </c>
      <c r="CN6" s="108">
        <f>IF(ManarahStaffCategories[[#This Row],[الجنسية]]=INDEX(ManarahStaffNationalities[الجنسية],1),
SUMIF(MasajidDB[مصدر مكافأة المؤذن],ManarahStaffCategories[[#This Row],[مصدر المكافأة]],MasajidDB[جنسية المؤذن]),
COUNTIF(MasajidDB[مصدر مكافأة المؤذن],ManarahStaffCategories[[#This Row],[مصدر المكافأة]])-SUMIF(MasajidDB[مصدر مكافأة المؤذن],ManarahStaffCategories[[#This Row],[مصدر المكافأة]],MasajidDB[جنسية المؤذن]))</f>
        <v>7</v>
      </c>
      <c r="CO6" s="80">
        <f>IF(ManarahStaffCategories[[#This Row],[الجنسية]]=INDEX(ManarahStaffNationalities[الجنسية],1),
SUMIF(MasajidDB[مصدر مكافأة مشرف المنشأة التعليمية],ManarahStaffCategories[[#This Row],[مصدر المكافأة]],MasajidDB[جنسية مشرف المنشأة التعليمية]),
COUNTIF(MasajidDB[مصدر مكافأة مشرف المنشأة التعليمية],ManarahStaffCategories[[#This Row],[مصدر المكافأة]])-SUMIF(MasajidDB[مصدر مكافأة مشرف المنشأة التعليمية],ManarahStaffCategories[[#This Row],[مصدر المكافأة]],MasajidDB[جنسية مشرف المنشأة التعليمية]))</f>
        <v>0</v>
      </c>
      <c r="CP6" s="108">
        <f>SUM(ManarahStaffCategories[[#This Row],[عدد الخطباء]],ManarahStaffCategories[[#This Row],[عدد الأئمة]],ManarahStaffCategories[[#This Row],[عدد المؤذنين]],ManarahStaffCategories[[#This Row],[عدد مشرفي المنشآت التعليمية]])</f>
        <v>19</v>
      </c>
      <c r="CR6" s="80" t="s">
        <v>649</v>
      </c>
      <c r="CT6" s="108" t="s">
        <v>648</v>
      </c>
    </row>
    <row r="7" spans="1:98" ht="30" customHeight="1" x14ac:dyDescent="0.2">
      <c r="A7" s="109">
        <f>ROW()-ROW(MasajidDB[[#Headers],[م]])</f>
        <v>1</v>
      </c>
      <c r="B7" s="110" t="s">
        <v>227</v>
      </c>
      <c r="C7" s="111" t="s">
        <v>70</v>
      </c>
      <c r="D7" s="111" t="s">
        <v>71</v>
      </c>
      <c r="E7" s="111" t="s">
        <v>72</v>
      </c>
      <c r="F7" s="112" t="s">
        <v>73</v>
      </c>
      <c r="G7" s="112" t="s">
        <v>74</v>
      </c>
      <c r="H7" s="113" t="s">
        <v>650</v>
      </c>
      <c r="I7" s="114">
        <v>26.426243660889401</v>
      </c>
      <c r="J7" s="114">
        <v>50.090768829837103</v>
      </c>
      <c r="K7" s="115" t="s">
        <v>651</v>
      </c>
      <c r="L7" s="116">
        <v>6500</v>
      </c>
      <c r="M7" s="117">
        <v>2343</v>
      </c>
      <c r="N7" s="118">
        <v>23</v>
      </c>
      <c r="O7" s="117">
        <v>3216</v>
      </c>
      <c r="P7" s="119">
        <v>258</v>
      </c>
      <c r="Q7" s="119">
        <v>4</v>
      </c>
      <c r="R7" s="119">
        <v>344</v>
      </c>
      <c r="S7" s="119">
        <f>IF(ISNUMBER(MasajidDB[[#This Row],[سعة المسجد من المصليين
(رجل)]]),MasajidDB[[#This Row],[سعة المسجد من المصليين
(رجل)]],0)
+IF(ISNUMBER(MasajidDB[[#This Row],[سعة المسجد من المصليات
(امرأة)]]),MasajidDB[[#This Row],[سعة المسجد من المصليات
(امرأة)]],0)</f>
        <v>3560</v>
      </c>
      <c r="T7" s="119">
        <v>10</v>
      </c>
      <c r="U7" s="119">
        <v>1</v>
      </c>
      <c r="V7" s="119">
        <v>30</v>
      </c>
      <c r="W7" s="119">
        <v>3</v>
      </c>
      <c r="X7" s="119">
        <v>1</v>
      </c>
      <c r="Y7" s="119">
        <v>5</v>
      </c>
      <c r="Z7" s="119" t="s">
        <v>652</v>
      </c>
      <c r="AA7" s="119">
        <v>2598</v>
      </c>
      <c r="AB7" s="119">
        <v>45</v>
      </c>
      <c r="AC7" s="119">
        <v>110</v>
      </c>
      <c r="AD7" s="119">
        <v>57</v>
      </c>
      <c r="AE7" s="119">
        <v>62</v>
      </c>
      <c r="AF7" s="119">
        <v>1</v>
      </c>
      <c r="AG7" s="119">
        <v>1</v>
      </c>
      <c r="AH7" s="119">
        <v>1</v>
      </c>
      <c r="AI7" s="119">
        <v>5</v>
      </c>
      <c r="AJ7" s="119">
        <v>62</v>
      </c>
      <c r="AK7" s="120" t="b">
        <v>1</v>
      </c>
      <c r="AL7" s="120" t="b">
        <v>1</v>
      </c>
      <c r="AM7" s="120" t="b">
        <v>0</v>
      </c>
      <c r="AN7" s="121" t="s">
        <v>653</v>
      </c>
      <c r="AO7" s="122"/>
      <c r="AP7" s="123" t="s">
        <v>654</v>
      </c>
      <c r="AQ7" s="123" t="s">
        <v>655</v>
      </c>
      <c r="AR7" s="123" t="s">
        <v>656</v>
      </c>
      <c r="AS7" s="124"/>
      <c r="AT7" s="125" t="b">
        <v>1</v>
      </c>
      <c r="AU7" s="126">
        <f>IF(MasajidDB[[#This Row],[خطيب مسجد؟]],1,0)</f>
        <v>1</v>
      </c>
      <c r="AV7" s="127" t="s">
        <v>657</v>
      </c>
      <c r="AW7" s="122">
        <v>501562335</v>
      </c>
      <c r="AX7" s="122">
        <v>1015349838</v>
      </c>
      <c r="AY7" s="122">
        <f>IFERROR(IF(VALUE(LEFT(MasajidDB[[#This Row],[Column313]],1))=1,1,0),0)</f>
        <v>1</v>
      </c>
      <c r="AZ7" s="122" t="s">
        <v>648</v>
      </c>
      <c r="BA7" s="128" t="b">
        <v>1</v>
      </c>
      <c r="BB7" s="126">
        <f>IF(MasajidDB[[#This Row],[إمام مسجد؟]],1,0)</f>
        <v>1</v>
      </c>
      <c r="BC7" s="122" t="s">
        <v>658</v>
      </c>
      <c r="BD7" s="122">
        <v>534323103</v>
      </c>
      <c r="BE7" s="122">
        <v>1094599675</v>
      </c>
      <c r="BF7" s="122">
        <f>IFERROR(IF(VALUE(LEFT(MasajidDB[[#This Row],[Column316]],1))=1,1,0),0)</f>
        <v>1</v>
      </c>
      <c r="BG7" s="128" t="b">
        <v>1</v>
      </c>
      <c r="BH7" s="122" t="s">
        <v>659</v>
      </c>
      <c r="BI7" s="128" t="b">
        <v>1</v>
      </c>
      <c r="BJ7" s="122">
        <f>IF(MasajidDB[[#This Row],[مؤذن مسجد؟]],1,0)</f>
        <v>1</v>
      </c>
      <c r="BK7" s="122" t="s">
        <v>660</v>
      </c>
      <c r="BL7" s="122" t="s">
        <v>661</v>
      </c>
      <c r="BM7" s="129">
        <v>1015349838</v>
      </c>
      <c r="BN7" s="130">
        <f>IFERROR(IF(VALUE(LEFT(MasajidDB[[#This Row],[Column319]],1))=1,1,0),0)</f>
        <v>1</v>
      </c>
      <c r="BO7" s="131" t="b">
        <v>1</v>
      </c>
      <c r="BP7" s="122" t="s">
        <v>648</v>
      </c>
      <c r="BQ7" s="128" t="b">
        <v>0</v>
      </c>
      <c r="BR7" s="122">
        <f>IF(MasajidDB[[#This Row],[مشرف على منشأة تعليمية؟]],1,0)</f>
        <v>0</v>
      </c>
      <c r="BS7" s="122"/>
      <c r="BT7" s="122"/>
      <c r="BU7" s="130"/>
      <c r="BV7" s="130">
        <f>IFERROR(IF(VALUE(LEFT(MasajidDB[[#This Row],[Column322]],1))=1,1,0),0)</f>
        <v>0</v>
      </c>
      <c r="BW7" s="130"/>
      <c r="BX7" s="131" t="b">
        <v>1</v>
      </c>
      <c r="BY7" s="131" t="b">
        <v>1</v>
      </c>
      <c r="BZ7" s="131" t="b">
        <v>1</v>
      </c>
      <c r="CA7" s="131" t="b">
        <v>1</v>
      </c>
      <c r="CB7" s="131" t="b">
        <v>1</v>
      </c>
      <c r="CC7" s="131" t="b">
        <v>1</v>
      </c>
      <c r="CD7" s="131" t="b">
        <v>1</v>
      </c>
      <c r="CE7" s="131" t="b">
        <v>1</v>
      </c>
      <c r="CF7" s="131" t="b">
        <v>1</v>
      </c>
      <c r="CG7" s="131" t="b">
        <v>0</v>
      </c>
      <c r="CI7" s="108" t="s">
        <v>647</v>
      </c>
      <c r="CJ7" s="108" t="s">
        <v>648</v>
      </c>
      <c r="CK7" s="108" t="s">
        <v>662</v>
      </c>
      <c r="CL7" s="108">
        <f>IF(ManarahStaffCategories[[#This Row],[الجنسية]]=INDEX(ManarahStaffNationalities[الجنسية],1),
SUMIF(MasajidDB[مصدر مكافأة الخطيب],ManarahStaffCategories[[#This Row],[مصدر المكافأة]],MasajidDB[جنسية الخطيب]),
COUNTIF(MasajidDB[مصدر مكافأة الخطيب],ManarahStaffCategories[[#This Row],[مصدر المكافأة]])-SUMIF(MasajidDB[مصدر مكافأة الخطيب],ManarahStaffCategories[[#This Row],[مصدر المكافأة]],MasajidDB[جنسية الخطيب]))</f>
        <v>0</v>
      </c>
      <c r="CM7" s="108">
        <f>IF(ManarahStaffCategories[[#This Row],[الجنسية]]=INDEX(ManarahStaffNationalities[الجنسية],1),
SUMIF(MasajidDB[مصدر مكافأة الإمام],ManarahStaffCategories[[#This Row],[مصدر المكافأة]],MasajidDB[جنسية الإمام]),
COUNTIF(MasajidDB[مصدر مكافأة الإمام],ManarahStaffCategories[[#This Row],[مصدر المكافأة]])-SUMIF(MasajidDB[مصدر مكافأة الإمام],ManarahStaffCategories[[#This Row],[مصدر المكافأة]],MasajidDB[جنسية الإمام]))</f>
        <v>0</v>
      </c>
      <c r="CN7" s="108">
        <f>IF(ManarahStaffCategories[[#This Row],[الجنسية]]=INDEX(ManarahStaffNationalities[الجنسية],1),
SUMIF(MasajidDB[مصدر مكافأة المؤذن],ManarahStaffCategories[[#This Row],[مصدر المكافأة]],MasajidDB[جنسية المؤذن]),
COUNTIF(MasajidDB[مصدر مكافأة المؤذن],ManarahStaffCategories[[#This Row],[مصدر المكافأة]])-SUMIF(MasajidDB[مصدر مكافأة المؤذن],ManarahStaffCategories[[#This Row],[مصدر المكافأة]],MasajidDB[جنسية المؤذن]))</f>
        <v>0</v>
      </c>
      <c r="CO7" s="80">
        <f>IF(ManarahStaffCategories[[#This Row],[الجنسية]]=INDEX(ManarahStaffNationalities[الجنسية],1),
SUMIF(MasajidDB[مصدر مكافأة مشرف المنشأة التعليمية],ManarahStaffCategories[[#This Row],[مصدر المكافأة]],MasajidDB[جنسية مشرف المنشأة التعليمية]),
COUNTIF(MasajidDB[مصدر مكافأة مشرف المنشأة التعليمية],ManarahStaffCategories[[#This Row],[مصدر المكافأة]])-SUMIF(MasajidDB[مصدر مكافأة مشرف المنشأة التعليمية],ManarahStaffCategories[[#This Row],[مصدر المكافأة]],MasajidDB[جنسية مشرف المنشأة التعليمية]))</f>
        <v>0</v>
      </c>
      <c r="CP7" s="108">
        <f>SUM(ManarahStaffCategories[[#This Row],[عدد الخطباء]],ManarahStaffCategories[[#This Row],[عدد الأئمة]],ManarahStaffCategories[[#This Row],[عدد المؤذنين]],ManarahStaffCategories[[#This Row],[عدد مشرفي المنشآت التعليمية]])</f>
        <v>0</v>
      </c>
      <c r="CR7" s="80" t="s">
        <v>662</v>
      </c>
      <c r="CT7" s="80" t="s">
        <v>659</v>
      </c>
    </row>
    <row r="8" spans="1:98" ht="30" customHeight="1" x14ac:dyDescent="0.2">
      <c r="A8" s="109">
        <f>ROW()-ROW(MasajidDB[[#Headers],[م]])</f>
        <v>2</v>
      </c>
      <c r="B8" s="110" t="s">
        <v>227</v>
      </c>
      <c r="C8" s="111" t="s">
        <v>70</v>
      </c>
      <c r="D8" s="111" t="s">
        <v>77</v>
      </c>
      <c r="E8" s="111" t="s">
        <v>72</v>
      </c>
      <c r="F8" s="112" t="s">
        <v>78</v>
      </c>
      <c r="G8" s="112" t="s">
        <v>79</v>
      </c>
      <c r="H8" s="132" t="s">
        <v>663</v>
      </c>
      <c r="I8" s="133">
        <v>26.400913017158</v>
      </c>
      <c r="J8" s="133">
        <v>50.052217881527298</v>
      </c>
      <c r="K8" s="115" t="s">
        <v>651</v>
      </c>
      <c r="L8" s="134">
        <v>3200</v>
      </c>
      <c r="M8" s="118">
        <v>550</v>
      </c>
      <c r="N8" s="118">
        <v>11</v>
      </c>
      <c r="O8" s="118">
        <v>780</v>
      </c>
      <c r="P8" s="119">
        <v>40</v>
      </c>
      <c r="Q8" s="119">
        <v>4</v>
      </c>
      <c r="R8" s="119">
        <v>50</v>
      </c>
      <c r="S8" s="119">
        <f>IF(ISNUMBER(MasajidDB[[#This Row],[سعة المسجد من المصليين
(رجل)]]),MasajidDB[[#This Row],[سعة المسجد من المصليين
(رجل)]],0)
+IF(ISNUMBER(MasajidDB[[#This Row],[سعة المسجد من المصليات
(امرأة)]]),MasajidDB[[#This Row],[سعة المسجد من المصليات
(امرأة)]],0)</f>
        <v>830</v>
      </c>
      <c r="T8" s="119">
        <v>4</v>
      </c>
      <c r="U8" s="119">
        <v>2</v>
      </c>
      <c r="V8" s="119">
        <v>13</v>
      </c>
      <c r="W8" s="119">
        <v>2</v>
      </c>
      <c r="X8" s="119">
        <v>2</v>
      </c>
      <c r="Y8" s="119">
        <v>2</v>
      </c>
      <c r="Z8" s="119">
        <v>33</v>
      </c>
      <c r="AA8" s="119">
        <v>160</v>
      </c>
      <c r="AB8" s="119">
        <v>15</v>
      </c>
      <c r="AC8" s="119">
        <v>10</v>
      </c>
      <c r="AD8" s="119">
        <v>21</v>
      </c>
      <c r="AE8" s="119">
        <v>8</v>
      </c>
      <c r="AF8" s="119">
        <v>1</v>
      </c>
      <c r="AG8" s="119">
        <v>2</v>
      </c>
      <c r="AH8" s="119">
        <v>3</v>
      </c>
      <c r="AI8" s="119">
        <v>4</v>
      </c>
      <c r="AJ8" s="119">
        <v>6</v>
      </c>
      <c r="AK8" s="120" t="b">
        <v>1</v>
      </c>
      <c r="AL8" s="120" t="b">
        <v>0</v>
      </c>
      <c r="AM8" s="120" t="b">
        <v>0</v>
      </c>
      <c r="AN8" s="121" t="s">
        <v>653</v>
      </c>
      <c r="AO8" s="135"/>
      <c r="AP8" s="136" t="s">
        <v>664</v>
      </c>
      <c r="AQ8" s="136">
        <v>2263359446</v>
      </c>
      <c r="AR8" s="135">
        <v>56253470</v>
      </c>
      <c r="AS8" s="137"/>
      <c r="AT8" s="138" t="b">
        <v>1</v>
      </c>
      <c r="AU8" s="139">
        <f>IF(MasajidDB[[#This Row],[خطيب مسجد؟]],1,0)</f>
        <v>1</v>
      </c>
      <c r="AV8" s="140" t="s">
        <v>665</v>
      </c>
      <c r="AW8" s="135">
        <v>502111064</v>
      </c>
      <c r="AX8" s="135">
        <v>1075825438</v>
      </c>
      <c r="AY8" s="122">
        <f>IFERROR(IF(VALUE(LEFT(MasajidDB[[#This Row],[Column313]],1))=1,1,0),0)</f>
        <v>1</v>
      </c>
      <c r="AZ8" s="122" t="s">
        <v>648</v>
      </c>
      <c r="BA8" s="131" t="b">
        <v>1</v>
      </c>
      <c r="BB8" s="139">
        <f>IF(MasajidDB[[#This Row],[إمام مسجد؟]],1,0)</f>
        <v>1</v>
      </c>
      <c r="BC8" s="135" t="s">
        <v>666</v>
      </c>
      <c r="BD8" s="135" t="s">
        <v>667</v>
      </c>
      <c r="BE8" s="135">
        <v>2034223475</v>
      </c>
      <c r="BF8" s="135">
        <f>IFERROR(IF(VALUE(LEFT(MasajidDB[[#This Row],[Column316]],1))=1,1,0),0)</f>
        <v>0</v>
      </c>
      <c r="BG8" s="131" t="b">
        <v>1</v>
      </c>
      <c r="BH8" s="135" t="s">
        <v>668</v>
      </c>
      <c r="BI8" s="131" t="b">
        <v>1</v>
      </c>
      <c r="BJ8" s="135">
        <f>IF(MasajidDB[[#This Row],[مؤذن مسجد؟]],1,0)</f>
        <v>1</v>
      </c>
      <c r="BK8" s="135" t="s">
        <v>669</v>
      </c>
      <c r="BL8" s="135">
        <v>556849086</v>
      </c>
      <c r="BM8" s="141">
        <v>1003099700</v>
      </c>
      <c r="BN8" s="142">
        <f>IFERROR(IF(VALUE(LEFT(MasajidDB[[#This Row],[Column319]],1))=1,1,0),0)</f>
        <v>1</v>
      </c>
      <c r="BO8" s="131" t="b">
        <v>0</v>
      </c>
      <c r="BP8" s="135" t="s">
        <v>659</v>
      </c>
      <c r="BQ8" s="131" t="b">
        <v>0</v>
      </c>
      <c r="BR8" s="135">
        <f>IF(MasajidDB[[#This Row],[مشرف على منشأة تعليمية؟]],1,0)</f>
        <v>0</v>
      </c>
      <c r="BS8" s="135"/>
      <c r="BT8" s="135"/>
      <c r="BU8" s="142"/>
      <c r="BV8" s="142">
        <f>IFERROR(IF(VALUE(LEFT(MasajidDB[[#This Row],[Column322]],1))=1,1,0),0)</f>
        <v>0</v>
      </c>
      <c r="BW8" s="142"/>
      <c r="BX8" s="131" t="b">
        <v>1</v>
      </c>
      <c r="BY8" s="131" t="b">
        <v>1</v>
      </c>
      <c r="BZ8" s="131" t="b">
        <v>1</v>
      </c>
      <c r="CA8" s="131" t="b">
        <v>1</v>
      </c>
      <c r="CB8" s="131" t="b">
        <v>1</v>
      </c>
      <c r="CC8" s="131" t="b">
        <v>1</v>
      </c>
      <c r="CD8" s="131" t="b">
        <v>0</v>
      </c>
      <c r="CE8" s="131" t="b">
        <v>1</v>
      </c>
      <c r="CF8" s="131" t="b">
        <v>1</v>
      </c>
      <c r="CG8" s="131" t="b">
        <v>0</v>
      </c>
      <c r="CI8" s="108" t="s">
        <v>647</v>
      </c>
      <c r="CJ8" s="80" t="s">
        <v>659</v>
      </c>
      <c r="CK8" s="80" t="s">
        <v>649</v>
      </c>
      <c r="CL8" s="80">
        <f>IF(ManarahStaffCategories[[#This Row],[الجنسية]]=INDEX(ManarahStaffNationalities[الجنسية],1),
SUMIF(MasajidDB[مصدر مكافأة الخطيب],ManarahStaffCategories[[#This Row],[مصدر المكافأة]],MasajidDB[جنسية الخطيب]),
COUNTIF(MasajidDB[مصدر مكافأة الخطيب],ManarahStaffCategories[[#This Row],[مصدر المكافأة]])-SUMIF(MasajidDB[مصدر مكافأة الخطيب],ManarahStaffCategories[[#This Row],[مصدر المكافأة]],MasajidDB[جنسية الخطيب]))</f>
        <v>0</v>
      </c>
      <c r="CM8" s="80">
        <f>IF(ManarahStaffCategories[[#This Row],[الجنسية]]=INDEX(ManarahStaffNationalities[الجنسية],1),
SUMIF(MasajidDB[مصدر مكافأة الإمام],ManarahStaffCategories[[#This Row],[مصدر المكافأة]],MasajidDB[جنسية الإمام]),
COUNTIF(MasajidDB[مصدر مكافأة الإمام],ManarahStaffCategories[[#This Row],[مصدر المكافأة]])-SUMIF(MasajidDB[مصدر مكافأة الإمام],ManarahStaffCategories[[#This Row],[مصدر المكافأة]],MasajidDB[جنسية الإمام]))</f>
        <v>5</v>
      </c>
      <c r="CN8" s="80">
        <f>IF(ManarahStaffCategories[[#This Row],[الجنسية]]=INDEX(ManarahStaffNationalities[الجنسية],1),
SUMIF(MasajidDB[مصدر مكافأة المؤذن],ManarahStaffCategories[[#This Row],[مصدر المكافأة]],MasajidDB[جنسية المؤذن]),
COUNTIF(MasajidDB[مصدر مكافأة المؤذن],ManarahStaffCategories[[#This Row],[مصدر المكافأة]])-SUMIF(MasajidDB[مصدر مكافأة المؤذن],ManarahStaffCategories[[#This Row],[مصدر المكافأة]],MasajidDB[جنسية المؤذن]))</f>
        <v>4</v>
      </c>
      <c r="CO8" s="80">
        <f>IF(ManarahStaffCategories[[#This Row],[الجنسية]]=INDEX(ManarahStaffNationalities[الجنسية],1),
SUMIF(MasajidDB[مصدر مكافأة مشرف المنشأة التعليمية],ManarahStaffCategories[[#This Row],[مصدر المكافأة]],MasajidDB[جنسية مشرف المنشأة التعليمية]),
COUNTIF(MasajidDB[مصدر مكافأة مشرف المنشأة التعليمية],ManarahStaffCategories[[#This Row],[مصدر المكافأة]])-SUMIF(MasajidDB[مصدر مكافأة مشرف المنشأة التعليمية],ManarahStaffCategories[[#This Row],[مصدر المكافأة]],MasajidDB[جنسية مشرف المنشأة التعليمية]))</f>
        <v>1</v>
      </c>
      <c r="CP8" s="80">
        <f>SUM(ManarahStaffCategories[[#This Row],[عدد الخطباء]],ManarahStaffCategories[[#This Row],[عدد الأئمة]],ManarahStaffCategories[[#This Row],[عدد المؤذنين]],ManarahStaffCategories[[#This Row],[عدد مشرفي المنشآت التعليمية]])</f>
        <v>10</v>
      </c>
      <c r="CT8" s="80" t="s">
        <v>670</v>
      </c>
    </row>
    <row r="9" spans="1:98" ht="30" customHeight="1" x14ac:dyDescent="0.2">
      <c r="A9" s="109">
        <f>ROW()-ROW(MasajidDB[[#Headers],[م]])</f>
        <v>3</v>
      </c>
      <c r="B9" s="110" t="s">
        <v>227</v>
      </c>
      <c r="C9" s="111" t="s">
        <v>70</v>
      </c>
      <c r="D9" s="111" t="s">
        <v>82</v>
      </c>
      <c r="E9" s="111" t="s">
        <v>72</v>
      </c>
      <c r="F9" s="112" t="s">
        <v>83</v>
      </c>
      <c r="G9" s="112" t="s">
        <v>84</v>
      </c>
      <c r="H9" s="132" t="s">
        <v>650</v>
      </c>
      <c r="I9" s="133">
        <v>26.369619</v>
      </c>
      <c r="J9" s="133">
        <v>50.098590984656397</v>
      </c>
      <c r="K9" s="115" t="s">
        <v>651</v>
      </c>
      <c r="L9" s="119">
        <v>2800</v>
      </c>
      <c r="M9" s="119">
        <v>600</v>
      </c>
      <c r="N9" s="118">
        <v>12</v>
      </c>
      <c r="O9" s="118">
        <v>768</v>
      </c>
      <c r="P9" s="119">
        <v>70</v>
      </c>
      <c r="Q9" s="119">
        <v>4</v>
      </c>
      <c r="R9" s="119">
        <v>106</v>
      </c>
      <c r="S9" s="119">
        <f>IF(ISNUMBER(MasajidDB[[#This Row],[سعة المسجد من المصليين
(رجل)]]),MasajidDB[[#This Row],[سعة المسجد من المصليين
(رجل)]],0)
+IF(ISNUMBER(MasajidDB[[#This Row],[سعة المسجد من المصليات
(امرأة)]]),MasajidDB[[#This Row],[سعة المسجد من المصليات
(امرأة)]],0)</f>
        <v>874</v>
      </c>
      <c r="T9" s="119">
        <v>6</v>
      </c>
      <c r="U9" s="119">
        <v>2</v>
      </c>
      <c r="V9" s="119">
        <v>12</v>
      </c>
      <c r="W9" s="119">
        <v>2</v>
      </c>
      <c r="X9" s="119">
        <v>0</v>
      </c>
      <c r="Y9" s="119">
        <v>4</v>
      </c>
      <c r="Z9" s="119">
        <v>22</v>
      </c>
      <c r="AA9" s="119">
        <v>387</v>
      </c>
      <c r="AB9" s="119">
        <v>28</v>
      </c>
      <c r="AC9" s="119">
        <v>10</v>
      </c>
      <c r="AD9" s="119">
        <v>25</v>
      </c>
      <c r="AE9" s="119">
        <v>38</v>
      </c>
      <c r="AF9" s="119">
        <v>2</v>
      </c>
      <c r="AG9" s="119">
        <v>1</v>
      </c>
      <c r="AH9" s="119">
        <v>9</v>
      </c>
      <c r="AI9" s="119">
        <v>8</v>
      </c>
      <c r="AJ9" s="119">
        <v>11</v>
      </c>
      <c r="AK9" s="120" t="b">
        <v>1</v>
      </c>
      <c r="AL9" s="120" t="b">
        <v>1</v>
      </c>
      <c r="AM9" s="120" t="b">
        <v>0</v>
      </c>
      <c r="AN9" s="121" t="s">
        <v>653</v>
      </c>
      <c r="AO9" s="135"/>
      <c r="AP9" s="136" t="s">
        <v>671</v>
      </c>
      <c r="AQ9" s="136">
        <v>2505999629</v>
      </c>
      <c r="AR9" s="136">
        <v>594979477</v>
      </c>
      <c r="AS9" s="137"/>
      <c r="AT9" s="120" t="b">
        <v>1</v>
      </c>
      <c r="AU9" s="143">
        <f>IF(MasajidDB[[#This Row],[خطيب مسجد؟]],1,0)</f>
        <v>1</v>
      </c>
      <c r="AV9" s="142" t="s">
        <v>672</v>
      </c>
      <c r="AW9" s="142">
        <v>556354522</v>
      </c>
      <c r="AX9" s="142">
        <v>1083811693</v>
      </c>
      <c r="AY9" s="130">
        <f>IFERROR(IF(VALUE(LEFT(MasajidDB[[#This Row],[Column313]],1))=1,1,0),0)</f>
        <v>1</v>
      </c>
      <c r="AZ9" s="122" t="s">
        <v>648</v>
      </c>
      <c r="BA9" s="144" t="b">
        <v>1</v>
      </c>
      <c r="BB9" s="143">
        <f>IF(MasajidDB[[#This Row],[إمام مسجد؟]],1,0)</f>
        <v>1</v>
      </c>
      <c r="BC9" s="142" t="s">
        <v>672</v>
      </c>
      <c r="BD9" s="142" t="s">
        <v>673</v>
      </c>
      <c r="BE9" s="142">
        <v>1083811693</v>
      </c>
      <c r="BF9" s="142">
        <f>IFERROR(IF(VALUE(LEFT(MasajidDB[[#This Row],[Column316]],1))=1,1,0),0)</f>
        <v>1</v>
      </c>
      <c r="BG9" s="131" t="b">
        <v>1</v>
      </c>
      <c r="BH9" s="142" t="s">
        <v>659</v>
      </c>
      <c r="BI9" s="144" t="b">
        <v>1</v>
      </c>
      <c r="BJ9" s="142">
        <f>IF(MasajidDB[[#This Row],[مؤذن مسجد؟]],1,0)</f>
        <v>1</v>
      </c>
      <c r="BK9" s="142" t="s">
        <v>674</v>
      </c>
      <c r="BL9" s="142">
        <v>503847149</v>
      </c>
      <c r="BM9" s="142">
        <v>1007033606</v>
      </c>
      <c r="BN9" s="142">
        <f>IFERROR(IF(VALUE(LEFT(MasajidDB[[#This Row],[Column319]],1))=1,1,0),0)</f>
        <v>1</v>
      </c>
      <c r="BO9" s="131" t="b">
        <v>1</v>
      </c>
      <c r="BP9" s="135" t="s">
        <v>648</v>
      </c>
      <c r="BQ9" s="131" t="b">
        <v>0</v>
      </c>
      <c r="BR9" s="142">
        <f>IF(MasajidDB[[#This Row],[مشرف على منشأة تعليمية؟]],1,0)</f>
        <v>0</v>
      </c>
      <c r="BS9" s="135"/>
      <c r="BT9" s="135"/>
      <c r="BU9" s="142"/>
      <c r="BV9" s="142">
        <f>IFERROR(IF(VALUE(LEFT(MasajidDB[[#This Row],[Column322]],1))=1,1,0),0)</f>
        <v>0</v>
      </c>
      <c r="BW9" s="142"/>
      <c r="BX9" s="131" t="b">
        <v>1</v>
      </c>
      <c r="BY9" s="131" t="b">
        <v>1</v>
      </c>
      <c r="BZ9" s="131" t="b">
        <v>1</v>
      </c>
      <c r="CA9" s="131" t="b">
        <v>1</v>
      </c>
      <c r="CB9" s="131" t="b">
        <v>1</v>
      </c>
      <c r="CC9" s="131" t="b">
        <v>1</v>
      </c>
      <c r="CD9" s="131" t="b">
        <v>1</v>
      </c>
      <c r="CE9" s="131" t="b">
        <v>1</v>
      </c>
      <c r="CF9" s="131" t="b">
        <v>1</v>
      </c>
      <c r="CG9" s="131" t="b">
        <v>0</v>
      </c>
      <c r="CI9" s="108" t="s">
        <v>647</v>
      </c>
      <c r="CJ9" s="80" t="s">
        <v>659</v>
      </c>
      <c r="CK9" s="80" t="s">
        <v>662</v>
      </c>
      <c r="CL9" s="80">
        <f>IF(ManarahStaffCategories[[#This Row],[الجنسية]]=INDEX(ManarahStaffNationalities[الجنسية],1),
SUMIF(MasajidDB[مصدر مكافأة الخطيب],ManarahStaffCategories[[#This Row],[مصدر المكافأة]],MasajidDB[جنسية الخطيب]),
COUNTIF(MasajidDB[مصدر مكافأة الخطيب],ManarahStaffCategories[[#This Row],[مصدر المكافأة]])-SUMIF(MasajidDB[مصدر مكافأة الخطيب],ManarahStaffCategories[[#This Row],[مصدر المكافأة]],MasajidDB[جنسية الخطيب]))</f>
        <v>3</v>
      </c>
      <c r="CM9" s="80">
        <f>IF(ManarahStaffCategories[[#This Row],[الجنسية]]=INDEX(ManarahStaffNationalities[الجنسية],1),
SUMIF(MasajidDB[مصدر مكافأة الإمام],ManarahStaffCategories[[#This Row],[مصدر المكافأة]],MasajidDB[جنسية الإمام]),
COUNTIF(MasajidDB[مصدر مكافأة الإمام],ManarahStaffCategories[[#This Row],[مصدر المكافأة]])-SUMIF(MasajidDB[مصدر مكافأة الإمام],ManarahStaffCategories[[#This Row],[مصدر المكافأة]],MasajidDB[جنسية الإمام]))</f>
        <v>1</v>
      </c>
      <c r="CN9" s="80">
        <f>IF(ManarahStaffCategories[[#This Row],[الجنسية]]=INDEX(ManarahStaffNationalities[الجنسية],1),
SUMIF(MasajidDB[مصدر مكافأة المؤذن],ManarahStaffCategories[[#This Row],[مصدر المكافأة]],MasajidDB[جنسية المؤذن]),
COUNTIF(MasajidDB[مصدر مكافأة المؤذن],ManarahStaffCategories[[#This Row],[مصدر المكافأة]])-SUMIF(MasajidDB[مصدر مكافأة المؤذن],ManarahStaffCategories[[#This Row],[مصدر المكافأة]],MasajidDB[جنسية المؤذن]))</f>
        <v>1</v>
      </c>
      <c r="CO9" s="80">
        <f>IF(ManarahStaffCategories[[#This Row],[الجنسية]]=INDEX(ManarahStaffNationalities[الجنسية],1),
SUMIF(MasajidDB[مصدر مكافأة مشرف المنشأة التعليمية],ManarahStaffCategories[[#This Row],[مصدر المكافأة]],MasajidDB[جنسية مشرف المنشأة التعليمية]),
COUNTIF(MasajidDB[مصدر مكافأة مشرف المنشأة التعليمية],ManarahStaffCategories[[#This Row],[مصدر المكافأة]])-SUMIF(MasajidDB[مصدر مكافأة مشرف المنشأة التعليمية],ManarahStaffCategories[[#This Row],[مصدر المكافأة]],MasajidDB[جنسية مشرف المنشأة التعليمية]))</f>
        <v>1</v>
      </c>
      <c r="CP9" s="80">
        <f>SUM(ManarahStaffCategories[[#This Row],[عدد الخطباء]],ManarahStaffCategories[[#This Row],[عدد الأئمة]],ManarahStaffCategories[[#This Row],[عدد المؤذنين]],ManarahStaffCategories[[#This Row],[عدد مشرفي المنشآت التعليمية]])</f>
        <v>6</v>
      </c>
      <c r="CT9" s="80" t="s">
        <v>675</v>
      </c>
    </row>
    <row r="10" spans="1:98" ht="30" customHeight="1" x14ac:dyDescent="0.2">
      <c r="A10" s="109">
        <f>ROW()-ROW(MasajidDB[[#Headers],[م]])</f>
        <v>4</v>
      </c>
      <c r="B10" s="111" t="s">
        <v>226</v>
      </c>
      <c r="C10" s="111" t="s">
        <v>676</v>
      </c>
      <c r="D10" s="111" t="s">
        <v>88</v>
      </c>
      <c r="E10" s="111" t="s">
        <v>72</v>
      </c>
      <c r="F10" s="112" t="s">
        <v>89</v>
      </c>
      <c r="G10" s="112" t="s">
        <v>90</v>
      </c>
      <c r="H10" s="132" t="s">
        <v>650</v>
      </c>
      <c r="I10" s="133">
        <v>21.353458036316901</v>
      </c>
      <c r="J10" s="133">
        <v>39.837932279869598</v>
      </c>
      <c r="K10" s="115" t="s">
        <v>651</v>
      </c>
      <c r="L10" s="119">
        <v>6084</v>
      </c>
      <c r="M10" s="119">
        <v>1800</v>
      </c>
      <c r="N10" s="135">
        <v>20</v>
      </c>
      <c r="O10" s="135">
        <v>1925</v>
      </c>
      <c r="P10" s="119">
        <v>289</v>
      </c>
      <c r="Q10" s="119">
        <v>5</v>
      </c>
      <c r="R10" s="119">
        <v>110</v>
      </c>
      <c r="S10" s="119">
        <f>IF(ISNUMBER(MasajidDB[[#This Row],[سعة المسجد من المصليين
(رجل)]]),MasajidDB[[#This Row],[سعة المسجد من المصليين
(رجل)]],0)
+IF(ISNUMBER(MasajidDB[[#This Row],[سعة المسجد من المصليات
(امرأة)]]),MasajidDB[[#This Row],[سعة المسجد من المصليات
(امرأة)]],0)</f>
        <v>2035</v>
      </c>
      <c r="T10" s="119">
        <v>7</v>
      </c>
      <c r="U10" s="119">
        <v>1</v>
      </c>
      <c r="V10" s="119">
        <v>35</v>
      </c>
      <c r="W10" s="119">
        <v>4</v>
      </c>
      <c r="X10" s="119">
        <v>0</v>
      </c>
      <c r="Y10" s="119">
        <v>5</v>
      </c>
      <c r="Z10" s="119">
        <v>20</v>
      </c>
      <c r="AA10" s="119">
        <v>353</v>
      </c>
      <c r="AB10" s="119">
        <v>22</v>
      </c>
      <c r="AC10" s="119">
        <v>35</v>
      </c>
      <c r="AD10" s="119">
        <v>12</v>
      </c>
      <c r="AE10" s="119">
        <v>30</v>
      </c>
      <c r="AF10" s="119">
        <v>2</v>
      </c>
      <c r="AG10" s="119">
        <v>2</v>
      </c>
      <c r="AH10" s="119">
        <v>1</v>
      </c>
      <c r="AI10" s="119">
        <v>2</v>
      </c>
      <c r="AJ10" s="119">
        <v>6</v>
      </c>
      <c r="AK10" s="120" t="b">
        <v>0</v>
      </c>
      <c r="AL10" s="120" t="b">
        <v>0</v>
      </c>
      <c r="AM10" s="120" t="b">
        <v>0</v>
      </c>
      <c r="AN10" s="121" t="s">
        <v>653</v>
      </c>
      <c r="AO10" s="135"/>
      <c r="AP10" s="136" t="s">
        <v>677</v>
      </c>
      <c r="AQ10" s="136">
        <v>2447931508</v>
      </c>
      <c r="AR10" s="136">
        <v>550133622</v>
      </c>
      <c r="AS10" s="137"/>
      <c r="AT10" s="120" t="b">
        <v>1</v>
      </c>
      <c r="AU10" s="143">
        <f>IF(MasajidDB[[#This Row],[خطيب مسجد؟]],1,0)</f>
        <v>1</v>
      </c>
      <c r="AV10" s="142" t="s">
        <v>678</v>
      </c>
      <c r="AW10" s="142">
        <v>555777919</v>
      </c>
      <c r="AX10" s="142">
        <v>1012385876</v>
      </c>
      <c r="AY10" s="130">
        <f>IFERROR(IF(VALUE(LEFT(MasajidDB[[#This Row],[Column313]],1))=1,1,0),0)</f>
        <v>1</v>
      </c>
      <c r="AZ10" s="122" t="s">
        <v>648</v>
      </c>
      <c r="BA10" s="144" t="b">
        <v>1</v>
      </c>
      <c r="BB10" s="143">
        <f>IF(MasajidDB[[#This Row],[إمام مسجد؟]],1,0)</f>
        <v>1</v>
      </c>
      <c r="BC10" s="142" t="s">
        <v>678</v>
      </c>
      <c r="BD10" s="142" t="s">
        <v>679</v>
      </c>
      <c r="BE10" s="142">
        <v>1012385876</v>
      </c>
      <c r="BF10" s="142">
        <f>IFERROR(IF(VALUE(LEFT(MasajidDB[[#This Row],[Column316]],1))=1,1,0),0)</f>
        <v>1</v>
      </c>
      <c r="BG10" s="131" t="b">
        <v>1</v>
      </c>
      <c r="BH10" s="142" t="s">
        <v>648</v>
      </c>
      <c r="BI10" s="144" t="b">
        <v>1</v>
      </c>
      <c r="BJ10" s="142">
        <f>IF(MasajidDB[[#This Row],[مؤذن مسجد؟]],1,0)</f>
        <v>1</v>
      </c>
      <c r="BK10" s="142" t="s">
        <v>680</v>
      </c>
      <c r="BL10" s="142" t="s">
        <v>681</v>
      </c>
      <c r="BM10" s="142">
        <v>1043178522</v>
      </c>
      <c r="BN10" s="142">
        <f>IFERROR(IF(VALUE(LEFT(MasajidDB[[#This Row],[Column319]],1))=1,1,0),0)</f>
        <v>1</v>
      </c>
      <c r="BO10" s="131" t="b">
        <v>1</v>
      </c>
      <c r="BP10" s="135" t="s">
        <v>648</v>
      </c>
      <c r="BQ10" s="131" t="b">
        <v>0</v>
      </c>
      <c r="BR10" s="142">
        <f>IF(MasajidDB[[#This Row],[مشرف على منشأة تعليمية؟]],1,0)</f>
        <v>0</v>
      </c>
      <c r="BS10" s="135"/>
      <c r="BT10" s="135"/>
      <c r="BU10" s="142"/>
      <c r="BV10" s="142">
        <f>IFERROR(IF(VALUE(LEFT(MasajidDB[[#This Row],[Column322]],1))=1,1,0),0)</f>
        <v>0</v>
      </c>
      <c r="BW10" s="142"/>
      <c r="BX10" s="131" t="b">
        <v>1</v>
      </c>
      <c r="BY10" s="131" t="b">
        <v>1</v>
      </c>
      <c r="BZ10" s="131" t="b">
        <v>1</v>
      </c>
      <c r="CA10" s="131" t="b">
        <v>1</v>
      </c>
      <c r="CB10" s="131" t="b">
        <v>1</v>
      </c>
      <c r="CC10" s="131" t="b">
        <v>1</v>
      </c>
      <c r="CD10" s="131" t="b">
        <v>1</v>
      </c>
      <c r="CE10" s="131" t="b">
        <v>1</v>
      </c>
      <c r="CF10" s="131" t="b">
        <v>1</v>
      </c>
      <c r="CG10" s="131" t="b">
        <v>0</v>
      </c>
      <c r="CI10" s="108" t="s">
        <v>647</v>
      </c>
      <c r="CJ10" s="80" t="s">
        <v>670</v>
      </c>
      <c r="CK10" s="80" t="s">
        <v>649</v>
      </c>
      <c r="CL10" s="80">
        <f>IF(ManarahStaffCategories[[#This Row],[الجنسية]]=INDEX(ManarahStaffNationalities[الجنسية],1),
SUMIF(MasajidDB[مصدر مكافأة الخطيب],ManarahStaffCategories[[#This Row],[مصدر المكافأة]],MasajidDB[جنسية الخطيب]),
COUNTIF(MasajidDB[مصدر مكافأة الخطيب],ManarahStaffCategories[[#This Row],[مصدر المكافأة]])-SUMIF(MasajidDB[مصدر مكافأة الخطيب],ManarahStaffCategories[[#This Row],[مصدر المكافأة]],MasajidDB[جنسية الخطيب]))</f>
        <v>0</v>
      </c>
      <c r="CM10" s="80">
        <f>IF(ManarahStaffCategories[[#This Row],[الجنسية]]=INDEX(ManarahStaffNationalities[الجنسية],1),
SUMIF(MasajidDB[مصدر مكافأة الإمام],ManarahStaffCategories[[#This Row],[مصدر المكافأة]],MasajidDB[جنسية الإمام]),
COUNTIF(MasajidDB[مصدر مكافأة الإمام],ManarahStaffCategories[[#This Row],[مصدر المكافأة]])-SUMIF(MasajidDB[مصدر مكافأة الإمام],ManarahStaffCategories[[#This Row],[مصدر المكافأة]],MasajidDB[جنسية الإمام]))</f>
        <v>0</v>
      </c>
      <c r="CN10" s="80">
        <f>IF(ManarahStaffCategories[[#This Row],[الجنسية]]=INDEX(ManarahStaffNationalities[الجنسية],1),
SUMIF(MasajidDB[مصدر مكافأة المؤذن],ManarahStaffCategories[[#This Row],[مصدر المكافأة]],MasajidDB[جنسية المؤذن]),
COUNTIF(MasajidDB[مصدر مكافأة المؤذن],ManarahStaffCategories[[#This Row],[مصدر المكافأة]])-SUMIF(MasajidDB[مصدر مكافأة المؤذن],ManarahStaffCategories[[#This Row],[مصدر المكافأة]],MasajidDB[جنسية المؤذن]))</f>
        <v>0</v>
      </c>
      <c r="CO10" s="80">
        <f>IF(ManarahStaffCategories[[#This Row],[الجنسية]]=INDEX(ManarahStaffNationalities[الجنسية],1),
SUMIF(MasajidDB[مصدر مكافأة مشرف المنشأة التعليمية],ManarahStaffCategories[[#This Row],[مصدر المكافأة]],MasajidDB[جنسية مشرف المنشأة التعليمية]),
COUNTIF(MasajidDB[مصدر مكافأة مشرف المنشأة التعليمية],ManarahStaffCategories[[#This Row],[مصدر المكافأة]])-SUMIF(MasajidDB[مصدر مكافأة مشرف المنشأة التعليمية],ManarahStaffCategories[[#This Row],[مصدر المكافأة]],MasajidDB[جنسية مشرف المنشأة التعليمية]))</f>
        <v>0</v>
      </c>
      <c r="CP10" s="80">
        <f>SUM(ManarahStaffCategories[[#This Row],[عدد الخطباء]],ManarahStaffCategories[[#This Row],[عدد الأئمة]],ManarahStaffCategories[[#This Row],[عدد المؤذنين]],ManarahStaffCategories[[#This Row],[عدد مشرفي المنشآت التعليمية]])</f>
        <v>0</v>
      </c>
      <c r="CT10" s="80" t="s">
        <v>682</v>
      </c>
    </row>
    <row r="11" spans="1:98" ht="30" customHeight="1" x14ac:dyDescent="0.2">
      <c r="A11" s="109">
        <f>ROW()-ROW(MasajidDB[[#Headers],[م]])</f>
        <v>5</v>
      </c>
      <c r="B11" s="110" t="s">
        <v>227</v>
      </c>
      <c r="C11" s="111" t="s">
        <v>92</v>
      </c>
      <c r="D11" s="111" t="s">
        <v>93</v>
      </c>
      <c r="E11" s="111" t="s">
        <v>94</v>
      </c>
      <c r="F11" s="112" t="s">
        <v>95</v>
      </c>
      <c r="G11" s="112" t="s">
        <v>96</v>
      </c>
      <c r="H11" s="132" t="s">
        <v>650</v>
      </c>
      <c r="I11" s="133">
        <v>26.318340166613599</v>
      </c>
      <c r="J11" s="133">
        <v>50.211441426488904</v>
      </c>
      <c r="K11" s="145" t="s">
        <v>683</v>
      </c>
      <c r="L11" s="119">
        <v>3850</v>
      </c>
      <c r="M11" s="119">
        <v>400</v>
      </c>
      <c r="N11" s="119">
        <v>12</v>
      </c>
      <c r="O11" s="119">
        <v>516</v>
      </c>
      <c r="P11" s="119">
        <v>50</v>
      </c>
      <c r="Q11" s="119">
        <v>2</v>
      </c>
      <c r="R11" s="119">
        <v>68</v>
      </c>
      <c r="S11" s="119">
        <f>IF(ISNUMBER(MasajidDB[[#This Row],[سعة المسجد من المصليين
(رجل)]]),MasajidDB[[#This Row],[سعة المسجد من المصليين
(رجل)]],0)
+IF(ISNUMBER(MasajidDB[[#This Row],[سعة المسجد من المصليات
(امرأة)]]),MasajidDB[[#This Row],[سعة المسجد من المصليات
(امرأة)]],0)</f>
        <v>584</v>
      </c>
      <c r="T11" s="119">
        <v>7</v>
      </c>
      <c r="U11" s="119">
        <v>1</v>
      </c>
      <c r="V11" s="119">
        <v>7</v>
      </c>
      <c r="W11" s="119">
        <v>2</v>
      </c>
      <c r="X11" s="119">
        <v>2</v>
      </c>
      <c r="Y11" s="119">
        <v>2</v>
      </c>
      <c r="Z11" s="119">
        <v>67</v>
      </c>
      <c r="AA11" s="119">
        <v>315</v>
      </c>
      <c r="AB11" s="119">
        <v>22</v>
      </c>
      <c r="AC11" s="119">
        <v>23</v>
      </c>
      <c r="AD11" s="119">
        <v>9</v>
      </c>
      <c r="AE11" s="119">
        <v>33</v>
      </c>
      <c r="AF11" s="119">
        <v>6</v>
      </c>
      <c r="AG11" s="119">
        <v>13</v>
      </c>
      <c r="AH11" s="119">
        <v>7</v>
      </c>
      <c r="AI11" s="119">
        <v>3</v>
      </c>
      <c r="AJ11" s="119">
        <v>16</v>
      </c>
      <c r="AK11" s="120" t="b">
        <v>1</v>
      </c>
      <c r="AL11" s="120" t="b">
        <v>1</v>
      </c>
      <c r="AM11" s="120" t="b">
        <v>0</v>
      </c>
      <c r="AN11" s="121" t="s">
        <v>653</v>
      </c>
      <c r="AO11" s="135"/>
      <c r="AP11" s="136" t="s">
        <v>684</v>
      </c>
      <c r="AQ11" s="136">
        <v>2543528307</v>
      </c>
      <c r="AR11" s="136">
        <v>570823267</v>
      </c>
      <c r="AS11" s="137"/>
      <c r="AT11" s="120" t="b">
        <v>0</v>
      </c>
      <c r="AU11" s="143">
        <f>IF(MasajidDB[[#This Row],[خطيب مسجد؟]],1,0)</f>
        <v>0</v>
      </c>
      <c r="AV11" s="142"/>
      <c r="AW11" s="142"/>
      <c r="AX11" s="142"/>
      <c r="AY11" s="142">
        <f>IFERROR(IF(VALUE(LEFT(MasajidDB[[#This Row],[Column313]],1))=1,1,0),0)</f>
        <v>0</v>
      </c>
      <c r="AZ11" s="142"/>
      <c r="BA11" s="144" t="b">
        <v>1</v>
      </c>
      <c r="BB11" s="143">
        <f>IF(MasajidDB[[#This Row],[إمام مسجد؟]],1,0)</f>
        <v>1</v>
      </c>
      <c r="BC11" s="142" t="s">
        <v>685</v>
      </c>
      <c r="BD11" s="142" t="s">
        <v>686</v>
      </c>
      <c r="BE11" s="142">
        <v>1033848803</v>
      </c>
      <c r="BF11" s="142">
        <f>IFERROR(IF(VALUE(LEFT(MasajidDB[[#This Row],[Column316]],1))=1,1,0),0)</f>
        <v>1</v>
      </c>
      <c r="BG11" s="131" t="b">
        <v>1</v>
      </c>
      <c r="BH11" s="142" t="s">
        <v>659</v>
      </c>
      <c r="BI11" s="144" t="b">
        <v>1</v>
      </c>
      <c r="BJ11" s="142">
        <f>IF(MasajidDB[[#This Row],[مؤذن مسجد؟]],1,0)</f>
        <v>1</v>
      </c>
      <c r="BK11" s="142" t="s">
        <v>687</v>
      </c>
      <c r="BL11" s="142">
        <v>509160062</v>
      </c>
      <c r="BM11" s="142">
        <v>1002765574</v>
      </c>
      <c r="BN11" s="142">
        <f>IFERROR(IF(VALUE(LEFT(MasajidDB[[#This Row],[Column319]],1))=1,1,0),0)</f>
        <v>1</v>
      </c>
      <c r="BO11" s="131" t="b">
        <v>1</v>
      </c>
      <c r="BP11" s="135" t="s">
        <v>659</v>
      </c>
      <c r="BQ11" s="131" t="b">
        <v>0</v>
      </c>
      <c r="BR11" s="142">
        <f>IF(MasajidDB[[#This Row],[مشرف على منشأة تعليمية؟]],1,0)</f>
        <v>0</v>
      </c>
      <c r="BS11" s="135"/>
      <c r="BT11" s="135"/>
      <c r="BU11" s="142"/>
      <c r="BV11" s="142">
        <f>IFERROR(IF(VALUE(LEFT(MasajidDB[[#This Row],[Column322]],1))=1,1,0),0)</f>
        <v>0</v>
      </c>
      <c r="BW11" s="142"/>
      <c r="BX11" s="131" t="b">
        <v>1</v>
      </c>
      <c r="BY11" s="131" t="b">
        <v>1</v>
      </c>
      <c r="BZ11" s="131" t="b">
        <v>1</v>
      </c>
      <c r="CA11" s="131" t="b">
        <v>1</v>
      </c>
      <c r="CB11" s="131" t="b">
        <v>0</v>
      </c>
      <c r="CC11" s="131" t="b">
        <v>0</v>
      </c>
      <c r="CD11" s="131" t="b">
        <v>0</v>
      </c>
      <c r="CE11" s="131" t="b">
        <v>0</v>
      </c>
      <c r="CF11" s="131" t="b">
        <v>0</v>
      </c>
      <c r="CG11" s="131" t="b">
        <v>0</v>
      </c>
      <c r="CI11" s="108" t="s">
        <v>647</v>
      </c>
      <c r="CJ11" s="80" t="s">
        <v>670</v>
      </c>
      <c r="CK11" s="80" t="s">
        <v>662</v>
      </c>
      <c r="CL11" s="80">
        <f>IF(ManarahStaffCategories[[#This Row],[الجنسية]]=INDEX(ManarahStaffNationalities[الجنسية],1),
SUMIF(MasajidDB[مصدر مكافأة الخطيب],ManarahStaffCategories[[#This Row],[مصدر المكافأة]],MasajidDB[جنسية الخطيب]),
COUNTIF(MasajidDB[مصدر مكافأة الخطيب],ManarahStaffCategories[[#This Row],[مصدر المكافأة]])-SUMIF(MasajidDB[مصدر مكافأة الخطيب],ManarahStaffCategories[[#This Row],[مصدر المكافأة]],MasajidDB[جنسية الخطيب]))</f>
        <v>0</v>
      </c>
      <c r="CM11" s="80">
        <f>IF(ManarahStaffCategories[[#This Row],[الجنسية]]=INDEX(ManarahStaffNationalities[الجنسية],1),
SUMIF(MasajidDB[مصدر مكافأة الإمام],ManarahStaffCategories[[#This Row],[مصدر المكافأة]],MasajidDB[جنسية الإمام]),
COUNTIF(MasajidDB[مصدر مكافأة الإمام],ManarahStaffCategories[[#This Row],[مصدر المكافأة]])-SUMIF(MasajidDB[مصدر مكافأة الإمام],ManarahStaffCategories[[#This Row],[مصدر المكافأة]],MasajidDB[جنسية الإمام]))</f>
        <v>0</v>
      </c>
      <c r="CN11" s="80">
        <f>IF(ManarahStaffCategories[[#This Row],[الجنسية]]=INDEX(ManarahStaffNationalities[الجنسية],1),
SUMIF(MasajidDB[مصدر مكافأة المؤذن],ManarahStaffCategories[[#This Row],[مصدر المكافأة]],MasajidDB[جنسية المؤذن]),
COUNTIF(MasajidDB[مصدر مكافأة المؤذن],ManarahStaffCategories[[#This Row],[مصدر المكافأة]])-SUMIF(MasajidDB[مصدر مكافأة المؤذن],ManarahStaffCategories[[#This Row],[مصدر المكافأة]],MasajidDB[جنسية المؤذن]))</f>
        <v>0</v>
      </c>
      <c r="CO11" s="80">
        <f>IF(ManarahStaffCategories[[#This Row],[الجنسية]]=INDEX(ManarahStaffNationalities[الجنسية],1),
SUMIF(MasajidDB[مصدر مكافأة مشرف المنشأة التعليمية],ManarahStaffCategories[[#This Row],[مصدر المكافأة]],MasajidDB[جنسية مشرف المنشأة التعليمية]),
COUNTIF(MasajidDB[مصدر مكافأة مشرف المنشأة التعليمية],ManarahStaffCategories[[#This Row],[مصدر المكافأة]])-SUMIF(MasajidDB[مصدر مكافأة مشرف المنشأة التعليمية],ManarahStaffCategories[[#This Row],[مصدر المكافأة]],MasajidDB[جنسية مشرف المنشأة التعليمية]))</f>
        <v>0</v>
      </c>
      <c r="CP11" s="80">
        <f>SUM(ManarahStaffCategories[[#This Row],[عدد الخطباء]],ManarahStaffCategories[[#This Row],[عدد الأئمة]],ManarahStaffCategories[[#This Row],[عدد المؤذنين]],ManarahStaffCategories[[#This Row],[عدد مشرفي المنشآت التعليمية]])</f>
        <v>0</v>
      </c>
      <c r="CT11" s="80" t="s">
        <v>688</v>
      </c>
    </row>
    <row r="12" spans="1:98" ht="30" customHeight="1" x14ac:dyDescent="0.2">
      <c r="A12" s="109">
        <f>ROW()-ROW(MasajidDB[[#Headers],[م]])</f>
        <v>6</v>
      </c>
      <c r="B12" s="110" t="s">
        <v>227</v>
      </c>
      <c r="C12" s="111" t="s">
        <v>70</v>
      </c>
      <c r="D12" s="111" t="s">
        <v>71</v>
      </c>
      <c r="E12" s="111" t="s">
        <v>94</v>
      </c>
      <c r="F12" s="112" t="s">
        <v>98</v>
      </c>
      <c r="G12" s="112" t="s">
        <v>99</v>
      </c>
      <c r="H12" s="132" t="s">
        <v>650</v>
      </c>
      <c r="I12" s="133">
        <v>26.4229245447595</v>
      </c>
      <c r="J12" s="133">
        <v>50.090646813492299</v>
      </c>
      <c r="K12" s="145" t="s">
        <v>683</v>
      </c>
      <c r="L12" s="119">
        <v>365</v>
      </c>
      <c r="M12" s="119">
        <v>233</v>
      </c>
      <c r="N12" s="119">
        <v>7</v>
      </c>
      <c r="O12" s="119">
        <v>182</v>
      </c>
      <c r="P12" s="119">
        <v>0</v>
      </c>
      <c r="Q12" s="119">
        <v>0</v>
      </c>
      <c r="R12" s="119">
        <v>0</v>
      </c>
      <c r="S12" s="119">
        <f>IF(ISNUMBER(MasajidDB[[#This Row],[سعة المسجد من المصليين
(رجل)]]),MasajidDB[[#This Row],[سعة المسجد من المصليين
(رجل)]],0)
+IF(ISNUMBER(MasajidDB[[#This Row],[سعة المسجد من المصليات
(امرأة)]]),MasajidDB[[#This Row],[سعة المسجد من المصليات
(امرأة)]],0)</f>
        <v>182</v>
      </c>
      <c r="T12" s="119">
        <v>6</v>
      </c>
      <c r="U12" s="119">
        <v>1</v>
      </c>
      <c r="V12" s="119">
        <v>10</v>
      </c>
      <c r="W12" s="119">
        <v>0</v>
      </c>
      <c r="X12" s="119">
        <v>0</v>
      </c>
      <c r="Y12" s="119">
        <v>0</v>
      </c>
      <c r="Z12" s="119">
        <v>0</v>
      </c>
      <c r="AA12" s="119">
        <v>433</v>
      </c>
      <c r="AB12" s="119">
        <v>14</v>
      </c>
      <c r="AC12" s="119">
        <v>21</v>
      </c>
      <c r="AD12" s="119">
        <v>13</v>
      </c>
      <c r="AE12" s="119">
        <v>0</v>
      </c>
      <c r="AF12" s="119">
        <v>0</v>
      </c>
      <c r="AG12" s="119">
        <v>0</v>
      </c>
      <c r="AH12" s="119">
        <v>0</v>
      </c>
      <c r="AI12" s="119">
        <v>2</v>
      </c>
      <c r="AJ12" s="119">
        <v>20</v>
      </c>
      <c r="AK12" s="120" t="b">
        <v>0</v>
      </c>
      <c r="AL12" s="120" t="b">
        <v>0</v>
      </c>
      <c r="AM12" s="120" t="b">
        <v>0</v>
      </c>
      <c r="AN12" s="121" t="s">
        <v>653</v>
      </c>
      <c r="AO12" s="135"/>
      <c r="AP12" s="136" t="s">
        <v>689</v>
      </c>
      <c r="AQ12" s="136">
        <v>2552964922</v>
      </c>
      <c r="AR12" s="136">
        <v>557530816</v>
      </c>
      <c r="AS12" s="137"/>
      <c r="AT12" s="120" t="b">
        <v>0</v>
      </c>
      <c r="AU12" s="143">
        <f>IF(MasajidDB[[#This Row],[خطيب مسجد؟]],1,0)</f>
        <v>0</v>
      </c>
      <c r="AV12" s="142"/>
      <c r="AW12" s="142"/>
      <c r="AX12" s="142"/>
      <c r="AY12" s="142">
        <f>IFERROR(IF(VALUE(LEFT(MasajidDB[[#This Row],[Column313]],1))=1,1,0),0)</f>
        <v>0</v>
      </c>
      <c r="AZ12" s="142"/>
      <c r="BA12" s="144" t="b">
        <v>1</v>
      </c>
      <c r="BB12" s="143">
        <f>IF(MasajidDB[[#This Row],[إمام مسجد؟]],1,0)</f>
        <v>1</v>
      </c>
      <c r="BC12" s="142" t="s">
        <v>690</v>
      </c>
      <c r="BD12" s="142">
        <v>563904091</v>
      </c>
      <c r="BE12" s="142">
        <v>1115393629</v>
      </c>
      <c r="BF12" s="142">
        <f>IFERROR(IF(VALUE(LEFT(MasajidDB[[#This Row],[Column316]],1))=1,1,0),0)</f>
        <v>1</v>
      </c>
      <c r="BG12" s="131" t="b">
        <v>0</v>
      </c>
      <c r="BH12" s="142" t="s">
        <v>659</v>
      </c>
      <c r="BI12" s="144" t="b">
        <v>1</v>
      </c>
      <c r="BJ12" s="142">
        <f>IF(MasajidDB[[#This Row],[مؤذن مسجد؟]],1,0)</f>
        <v>1</v>
      </c>
      <c r="BK12" s="142" t="s">
        <v>691</v>
      </c>
      <c r="BL12" s="142">
        <v>568502084</v>
      </c>
      <c r="BM12" s="142">
        <v>1000453199</v>
      </c>
      <c r="BN12" s="142">
        <f>IFERROR(IF(VALUE(LEFT(MasajidDB[[#This Row],[Column319]],1))=1,1,0),0)</f>
        <v>1</v>
      </c>
      <c r="BO12" s="131" t="b">
        <v>0</v>
      </c>
      <c r="BP12" s="135" t="s">
        <v>659</v>
      </c>
      <c r="BQ12" s="131" t="b">
        <v>0</v>
      </c>
      <c r="BR12" s="142">
        <f>IF(MasajidDB[[#This Row],[مشرف على منشأة تعليمية؟]],1,0)</f>
        <v>0</v>
      </c>
      <c r="BS12" s="135"/>
      <c r="BT12" s="135"/>
      <c r="BU12" s="142"/>
      <c r="BV12" s="142">
        <f>IFERROR(IF(VALUE(LEFT(MasajidDB[[#This Row],[Column322]],1))=1,1,0),0)</f>
        <v>0</v>
      </c>
      <c r="BW12" s="142"/>
      <c r="BX12" s="131" t="b">
        <v>1</v>
      </c>
      <c r="BY12" s="131" t="b">
        <v>1</v>
      </c>
      <c r="BZ12" s="131" t="b">
        <v>1</v>
      </c>
      <c r="CA12" s="131" t="b">
        <v>1</v>
      </c>
      <c r="CB12" s="131" t="b">
        <v>0</v>
      </c>
      <c r="CC12" s="131" t="b">
        <v>0</v>
      </c>
      <c r="CD12" s="131" t="b">
        <v>0</v>
      </c>
      <c r="CE12" s="131" t="b">
        <v>0</v>
      </c>
      <c r="CF12" s="131" t="b">
        <v>0</v>
      </c>
      <c r="CG12" s="131" t="b">
        <v>0</v>
      </c>
      <c r="CI12" s="108" t="s">
        <v>647</v>
      </c>
      <c r="CJ12" s="80" t="s">
        <v>675</v>
      </c>
      <c r="CK12" s="80" t="s">
        <v>649</v>
      </c>
      <c r="CL12" s="80">
        <f>IF(ManarahStaffCategories[[#This Row],[الجنسية]]=INDEX(ManarahStaffNationalities[الجنسية],1),
SUMIF(MasajidDB[مصدر مكافأة الخطيب],ManarahStaffCategories[[#This Row],[مصدر المكافأة]],MasajidDB[جنسية الخطيب]),
COUNTIF(MasajidDB[مصدر مكافأة الخطيب],ManarahStaffCategories[[#This Row],[مصدر المكافأة]])-SUMIF(MasajidDB[مصدر مكافأة الخطيب],ManarahStaffCategories[[#This Row],[مصدر المكافأة]],MasajidDB[جنسية الخطيب]))</f>
        <v>0</v>
      </c>
      <c r="CM12" s="80">
        <f>IF(ManarahStaffCategories[[#This Row],[الجنسية]]=INDEX(ManarahStaffNationalities[الجنسية],1),
SUMIF(MasajidDB[مصدر مكافأة الإمام],ManarahStaffCategories[[#This Row],[مصدر المكافأة]],MasajidDB[جنسية الإمام]),
COUNTIF(MasajidDB[مصدر مكافأة الإمام],ManarahStaffCategories[[#This Row],[مصدر المكافأة]])-SUMIF(MasajidDB[مصدر مكافأة الإمام],ManarahStaffCategories[[#This Row],[مصدر المكافأة]],MasajidDB[جنسية الإمام]))</f>
        <v>0</v>
      </c>
      <c r="CN12" s="80">
        <f>IF(ManarahStaffCategories[[#This Row],[الجنسية]]=INDEX(ManarahStaffNationalities[الجنسية],1),
SUMIF(MasajidDB[مصدر مكافأة المؤذن],ManarahStaffCategories[[#This Row],[مصدر المكافأة]],MasajidDB[جنسية المؤذن]),
COUNTIF(MasajidDB[مصدر مكافأة المؤذن],ManarahStaffCategories[[#This Row],[مصدر المكافأة]])-SUMIF(MasajidDB[مصدر مكافأة المؤذن],ManarahStaffCategories[[#This Row],[مصدر المكافأة]],MasajidDB[جنسية المؤذن]))</f>
        <v>0</v>
      </c>
      <c r="CO12" s="80">
        <f>IF(ManarahStaffCategories[[#This Row],[الجنسية]]=INDEX(ManarahStaffNationalities[الجنسية],1),
SUMIF(MasajidDB[مصدر مكافأة مشرف المنشأة التعليمية],ManarahStaffCategories[[#This Row],[مصدر المكافأة]],MasajidDB[جنسية مشرف المنشأة التعليمية]),
COUNTIF(MasajidDB[مصدر مكافأة مشرف المنشأة التعليمية],ManarahStaffCategories[[#This Row],[مصدر المكافأة]])-SUMIF(MasajidDB[مصدر مكافأة مشرف المنشأة التعليمية],ManarahStaffCategories[[#This Row],[مصدر المكافأة]],MasajidDB[جنسية مشرف المنشأة التعليمية]))</f>
        <v>0</v>
      </c>
      <c r="CP12" s="80">
        <f>SUM(ManarahStaffCategories[[#This Row],[عدد الخطباء]],ManarahStaffCategories[[#This Row],[عدد الأئمة]],ManarahStaffCategories[[#This Row],[عدد المؤذنين]],ManarahStaffCategories[[#This Row],[عدد مشرفي المنشآت التعليمية]])</f>
        <v>0</v>
      </c>
    </row>
    <row r="13" spans="1:98" ht="30" customHeight="1" x14ac:dyDescent="0.2">
      <c r="A13" s="109">
        <f>ROW()-ROW(MasajidDB[[#Headers],[م]])</f>
        <v>7</v>
      </c>
      <c r="B13" s="110" t="s">
        <v>227</v>
      </c>
      <c r="C13" s="111" t="s">
        <v>70</v>
      </c>
      <c r="D13" s="111" t="s">
        <v>101</v>
      </c>
      <c r="E13" s="111" t="s">
        <v>94</v>
      </c>
      <c r="F13" s="112" t="s">
        <v>102</v>
      </c>
      <c r="G13" s="112" t="s">
        <v>103</v>
      </c>
      <c r="H13" s="132" t="s">
        <v>650</v>
      </c>
      <c r="I13" s="133">
        <v>26.427810075652499</v>
      </c>
      <c r="J13" s="133">
        <v>50.108315130686996</v>
      </c>
      <c r="K13" s="145" t="s">
        <v>683</v>
      </c>
      <c r="L13" s="119">
        <v>2695</v>
      </c>
      <c r="M13" s="119">
        <v>325</v>
      </c>
      <c r="N13" s="119">
        <v>7</v>
      </c>
      <c r="O13" s="119">
        <v>350</v>
      </c>
      <c r="P13" s="119">
        <v>17</v>
      </c>
      <c r="Q13" s="119">
        <v>17</v>
      </c>
      <c r="R13" s="119">
        <v>25</v>
      </c>
      <c r="S13" s="119">
        <f>IF(ISNUMBER(MasajidDB[[#This Row],[سعة المسجد من المصليين
(رجل)]]),MasajidDB[[#This Row],[سعة المسجد من المصليين
(رجل)]],0)
+IF(ISNUMBER(MasajidDB[[#This Row],[سعة المسجد من المصليات
(امرأة)]]),MasajidDB[[#This Row],[سعة المسجد من المصليات
(امرأة)]],0)</f>
        <v>375</v>
      </c>
      <c r="T13" s="119">
        <v>4</v>
      </c>
      <c r="U13" s="119">
        <v>1</v>
      </c>
      <c r="V13" s="119">
        <v>12</v>
      </c>
      <c r="W13" s="119">
        <v>2</v>
      </c>
      <c r="X13" s="119">
        <v>1</v>
      </c>
      <c r="Y13" s="119">
        <v>3</v>
      </c>
      <c r="Z13" s="119">
        <v>0</v>
      </c>
      <c r="AA13" s="119">
        <v>210</v>
      </c>
      <c r="AB13" s="119">
        <v>8</v>
      </c>
      <c r="AC13" s="119">
        <v>7</v>
      </c>
      <c r="AD13" s="119">
        <v>7</v>
      </c>
      <c r="AE13" s="119">
        <v>12</v>
      </c>
      <c r="AF13" s="119">
        <v>1</v>
      </c>
      <c r="AG13" s="119">
        <v>2</v>
      </c>
      <c r="AH13" s="119">
        <v>1</v>
      </c>
      <c r="AI13" s="119">
        <v>3</v>
      </c>
      <c r="AJ13" s="119">
        <v>11</v>
      </c>
      <c r="AK13" s="120" t="b">
        <v>0</v>
      </c>
      <c r="AL13" s="120" t="b">
        <v>0</v>
      </c>
      <c r="AM13" s="120" t="b">
        <v>0</v>
      </c>
      <c r="AN13" s="121" t="s">
        <v>653</v>
      </c>
      <c r="AO13" s="135"/>
      <c r="AP13" s="136" t="s">
        <v>692</v>
      </c>
      <c r="AQ13" s="136">
        <v>2437783687</v>
      </c>
      <c r="AR13" s="136">
        <v>597914277</v>
      </c>
      <c r="AS13" s="137"/>
      <c r="AT13" s="120" t="b">
        <v>0</v>
      </c>
      <c r="AU13" s="143">
        <f>IF(MasajidDB[[#This Row],[خطيب مسجد؟]],1,0)</f>
        <v>0</v>
      </c>
      <c r="AV13" s="142"/>
      <c r="AW13" s="142"/>
      <c r="AX13" s="142"/>
      <c r="AY13" s="142">
        <f>IFERROR(IF(VALUE(LEFT(MasajidDB[[#This Row],[Column313]],1))=1,1,0),0)</f>
        <v>0</v>
      </c>
      <c r="AZ13" s="142"/>
      <c r="BA13" s="144" t="b">
        <v>1</v>
      </c>
      <c r="BB13" s="143">
        <f>IF(MasajidDB[[#This Row],[إمام مسجد؟]],1,0)</f>
        <v>1</v>
      </c>
      <c r="BC13" s="142" t="s">
        <v>693</v>
      </c>
      <c r="BD13" s="142" t="s">
        <v>694</v>
      </c>
      <c r="BE13" s="142">
        <v>1033297217</v>
      </c>
      <c r="BF13" s="142">
        <f>IFERROR(IF(VALUE(LEFT(MasajidDB[[#This Row],[Column316]],1))=1,1,0),0)</f>
        <v>1</v>
      </c>
      <c r="BG13" s="131" t="b">
        <v>1</v>
      </c>
      <c r="BH13" s="142" t="s">
        <v>648</v>
      </c>
      <c r="BI13" s="144" t="b">
        <v>1</v>
      </c>
      <c r="BJ13" s="142">
        <f>IF(MasajidDB[[#This Row],[مؤذن مسجد؟]],1,0)</f>
        <v>1</v>
      </c>
      <c r="BK13" s="142" t="s">
        <v>695</v>
      </c>
      <c r="BL13" s="142" t="s">
        <v>696</v>
      </c>
      <c r="BM13" s="142">
        <v>1021757867</v>
      </c>
      <c r="BN13" s="142">
        <f>IFERROR(IF(VALUE(LEFT(MasajidDB[[#This Row],[Column319]],1))=1,1,0),0)</f>
        <v>1</v>
      </c>
      <c r="BO13" s="131" t="b">
        <v>0</v>
      </c>
      <c r="BP13" s="135" t="s">
        <v>648</v>
      </c>
      <c r="BQ13" s="131" t="b">
        <v>0</v>
      </c>
      <c r="BR13" s="142">
        <f>IF(MasajidDB[[#This Row],[مشرف على منشأة تعليمية؟]],1,0)</f>
        <v>0</v>
      </c>
      <c r="BS13" s="135"/>
      <c r="BT13" s="135"/>
      <c r="BU13" s="142"/>
      <c r="BV13" s="142">
        <f>IFERROR(IF(VALUE(LEFT(MasajidDB[[#This Row],[Column322]],1))=1,1,0),0)</f>
        <v>0</v>
      </c>
      <c r="BW13" s="142"/>
      <c r="BX13" s="131" t="b">
        <v>1</v>
      </c>
      <c r="BY13" s="131" t="b">
        <v>1</v>
      </c>
      <c r="BZ13" s="131" t="b">
        <v>1</v>
      </c>
      <c r="CA13" s="131" t="b">
        <v>1</v>
      </c>
      <c r="CB13" s="131" t="b">
        <v>0</v>
      </c>
      <c r="CC13" s="131" t="b">
        <v>0</v>
      </c>
      <c r="CD13" s="131" t="b">
        <v>0</v>
      </c>
      <c r="CE13" s="131" t="b">
        <v>0</v>
      </c>
      <c r="CF13" s="131" t="b">
        <v>0</v>
      </c>
      <c r="CG13" s="131" t="b">
        <v>0</v>
      </c>
      <c r="CI13" s="108" t="s">
        <v>647</v>
      </c>
      <c r="CJ13" s="80" t="s">
        <v>675</v>
      </c>
      <c r="CK13" s="80" t="s">
        <v>662</v>
      </c>
      <c r="CL13" s="80">
        <f>IF(ManarahStaffCategories[[#This Row],[الجنسية]]=INDEX(ManarahStaffNationalities[الجنسية],1),
SUMIF(MasajidDB[مصدر مكافأة الخطيب],ManarahStaffCategories[[#This Row],[مصدر المكافأة]],MasajidDB[جنسية الخطيب]),
COUNTIF(MasajidDB[مصدر مكافأة الخطيب],ManarahStaffCategories[[#This Row],[مصدر المكافأة]])-SUMIF(MasajidDB[مصدر مكافأة الخطيب],ManarahStaffCategories[[#This Row],[مصدر المكافأة]],MasajidDB[جنسية الخطيب]))</f>
        <v>0</v>
      </c>
      <c r="CM13" s="80">
        <f>IF(ManarahStaffCategories[[#This Row],[الجنسية]]=INDEX(ManarahStaffNationalities[الجنسية],1),
SUMIF(MasajidDB[مصدر مكافأة الإمام],ManarahStaffCategories[[#This Row],[مصدر المكافأة]],MasajidDB[جنسية الإمام]),
COUNTIF(MasajidDB[مصدر مكافأة الإمام],ManarahStaffCategories[[#This Row],[مصدر المكافأة]])-SUMIF(MasajidDB[مصدر مكافأة الإمام],ManarahStaffCategories[[#This Row],[مصدر المكافأة]],MasajidDB[جنسية الإمام]))</f>
        <v>4</v>
      </c>
      <c r="CN13" s="80">
        <f>IF(ManarahStaffCategories[[#This Row],[الجنسية]]=INDEX(ManarahStaffNationalities[الجنسية],1),
SUMIF(MasajidDB[مصدر مكافأة المؤذن],ManarahStaffCategories[[#This Row],[مصدر المكافأة]],MasajidDB[جنسية المؤذن]),
COUNTIF(MasajidDB[مصدر مكافأة المؤذن],ManarahStaffCategories[[#This Row],[مصدر المكافأة]])-SUMIF(MasajidDB[مصدر مكافأة المؤذن],ManarahStaffCategories[[#This Row],[مصدر المكافأة]],MasajidDB[جنسية المؤذن]))</f>
        <v>4</v>
      </c>
      <c r="CO13" s="80">
        <f>IF(ManarahStaffCategories[[#This Row],[الجنسية]]=INDEX(ManarahStaffNationalities[الجنسية],1),
SUMIF(MasajidDB[مصدر مكافأة مشرف المنشأة التعليمية],ManarahStaffCategories[[#This Row],[مصدر المكافأة]],MasajidDB[جنسية مشرف المنشأة التعليمية]),
COUNTIF(MasajidDB[مصدر مكافأة مشرف المنشأة التعليمية],ManarahStaffCategories[[#This Row],[مصدر المكافأة]])-SUMIF(MasajidDB[مصدر مكافأة مشرف المنشأة التعليمية],ManarahStaffCategories[[#This Row],[مصدر المكافأة]],MasajidDB[جنسية مشرف المنشأة التعليمية]))</f>
        <v>0</v>
      </c>
      <c r="CP13" s="80">
        <f>SUM(ManarahStaffCategories[[#This Row],[عدد الخطباء]],ManarahStaffCategories[[#This Row],[عدد الأئمة]],ManarahStaffCategories[[#This Row],[عدد المؤذنين]],ManarahStaffCategories[[#This Row],[عدد مشرفي المنشآت التعليمية]])</f>
        <v>8</v>
      </c>
    </row>
    <row r="14" spans="1:98" ht="30" customHeight="1" x14ac:dyDescent="0.2">
      <c r="A14" s="109">
        <f>ROW()-ROW(MasajidDB[[#Headers],[م]])</f>
        <v>8</v>
      </c>
      <c r="B14" s="110" t="s">
        <v>237</v>
      </c>
      <c r="C14" s="111" t="s">
        <v>105</v>
      </c>
      <c r="D14" s="111" t="s">
        <v>106</v>
      </c>
      <c r="E14" s="111" t="s">
        <v>94</v>
      </c>
      <c r="F14" s="112" t="s">
        <v>107</v>
      </c>
      <c r="G14" s="112" t="s">
        <v>108</v>
      </c>
      <c r="H14" s="132" t="s">
        <v>650</v>
      </c>
      <c r="I14" s="133">
        <v>19.8641092202853</v>
      </c>
      <c r="J14" s="133">
        <v>41.567909079730399</v>
      </c>
      <c r="K14" s="145" t="s">
        <v>683</v>
      </c>
      <c r="L14" s="119">
        <v>425</v>
      </c>
      <c r="M14" s="119">
        <v>283</v>
      </c>
      <c r="N14" s="119">
        <v>9</v>
      </c>
      <c r="O14" s="119">
        <v>310</v>
      </c>
      <c r="P14" s="119">
        <v>111</v>
      </c>
      <c r="Q14" s="119">
        <v>4</v>
      </c>
      <c r="R14" s="119">
        <v>140</v>
      </c>
      <c r="S14" s="119">
        <f>IF(ISNUMBER(MasajidDB[[#This Row],[سعة المسجد من المصليين
(رجل)]]),MasajidDB[[#This Row],[سعة المسجد من المصليين
(رجل)]],0)
+IF(ISNUMBER(MasajidDB[[#This Row],[سعة المسجد من المصليات
(امرأة)]]),MasajidDB[[#This Row],[سعة المسجد من المصليات
(امرأة)]],0)</f>
        <v>450</v>
      </c>
      <c r="T14" s="119">
        <v>5</v>
      </c>
      <c r="U14" s="119">
        <v>0</v>
      </c>
      <c r="V14" s="119">
        <v>9</v>
      </c>
      <c r="W14" s="119">
        <v>2</v>
      </c>
      <c r="X14" s="119">
        <v>0</v>
      </c>
      <c r="Y14" s="119">
        <v>3</v>
      </c>
      <c r="Z14" s="119">
        <v>10</v>
      </c>
      <c r="AA14" s="119">
        <v>29</v>
      </c>
      <c r="AB14" s="119">
        <v>10</v>
      </c>
      <c r="AC14" s="119">
        <v>2</v>
      </c>
      <c r="AD14" s="119">
        <v>1</v>
      </c>
      <c r="AE14" s="119">
        <v>9</v>
      </c>
      <c r="AF14" s="119">
        <v>1</v>
      </c>
      <c r="AG14" s="119">
        <v>3</v>
      </c>
      <c r="AH14" s="119">
        <v>0</v>
      </c>
      <c r="AI14" s="119">
        <v>2</v>
      </c>
      <c r="AJ14" s="119">
        <v>49</v>
      </c>
      <c r="AK14" s="120" t="b">
        <v>1</v>
      </c>
      <c r="AL14" s="120" t="b">
        <v>0</v>
      </c>
      <c r="AM14" s="120" t="b">
        <v>0</v>
      </c>
      <c r="AN14" s="121" t="s">
        <v>653</v>
      </c>
      <c r="AO14" s="135"/>
      <c r="AP14" s="136"/>
      <c r="AQ14" s="136"/>
      <c r="AR14" s="136"/>
      <c r="AS14" s="137"/>
      <c r="AT14" s="120" t="b">
        <v>0</v>
      </c>
      <c r="AU14" s="143">
        <f>IF(MasajidDB[[#This Row],[خطيب مسجد؟]],1,0)</f>
        <v>0</v>
      </c>
      <c r="AV14" s="142"/>
      <c r="AW14" s="142"/>
      <c r="AX14" s="142"/>
      <c r="AY14" s="142">
        <f>IFERROR(IF(VALUE(LEFT(MasajidDB[[#This Row],[Column313]],1))=1,1,0),0)</f>
        <v>0</v>
      </c>
      <c r="AZ14" s="142"/>
      <c r="BA14" s="144" t="b">
        <v>1</v>
      </c>
      <c r="BB14" s="143">
        <f>IF(MasajidDB[[#This Row],[إمام مسجد؟]],1,0)</f>
        <v>1</v>
      </c>
      <c r="BC14" s="142" t="s">
        <v>697</v>
      </c>
      <c r="BD14" s="142">
        <v>554773020</v>
      </c>
      <c r="BE14" s="142">
        <v>2094142961</v>
      </c>
      <c r="BF14" s="142">
        <f>IFERROR(IF(VALUE(LEFT(MasajidDB[[#This Row],[Column316]],1))=1,1,0),0)</f>
        <v>0</v>
      </c>
      <c r="BG14" s="131" t="b">
        <v>1</v>
      </c>
      <c r="BH14" s="142" t="s">
        <v>668</v>
      </c>
      <c r="BI14" s="144" t="b">
        <v>1</v>
      </c>
      <c r="BJ14" s="142">
        <f>IF(MasajidDB[[#This Row],[مؤذن مسجد؟]],1,0)</f>
        <v>1</v>
      </c>
      <c r="BK14" s="142" t="s">
        <v>697</v>
      </c>
      <c r="BL14" s="142">
        <v>554773020</v>
      </c>
      <c r="BM14" s="142">
        <v>2094142961</v>
      </c>
      <c r="BN14" s="142">
        <f>IFERROR(IF(VALUE(LEFT(MasajidDB[[#This Row],[Column319]],1))=1,1,0),0)</f>
        <v>0</v>
      </c>
      <c r="BO14" s="131" t="b">
        <v>1</v>
      </c>
      <c r="BP14" s="135" t="s">
        <v>668</v>
      </c>
      <c r="BQ14" s="131" t="b">
        <v>0</v>
      </c>
      <c r="BR14" s="142">
        <f>IF(MasajidDB[[#This Row],[مشرف على منشأة تعليمية؟]],1,0)</f>
        <v>0</v>
      </c>
      <c r="BS14" s="135"/>
      <c r="BT14" s="135"/>
      <c r="BU14" s="142"/>
      <c r="BV14" s="142">
        <f>IFERROR(IF(VALUE(LEFT(MasajidDB[[#This Row],[Column322]],1))=1,1,0),0)</f>
        <v>0</v>
      </c>
      <c r="BW14" s="142"/>
      <c r="BX14" s="131" t="b">
        <v>1</v>
      </c>
      <c r="BY14" s="131" t="b">
        <v>1</v>
      </c>
      <c r="BZ14" s="131" t="b">
        <v>1</v>
      </c>
      <c r="CA14" s="131" t="b">
        <v>1</v>
      </c>
      <c r="CB14" s="131" t="b">
        <v>0</v>
      </c>
      <c r="CC14" s="131" t="b">
        <v>0</v>
      </c>
      <c r="CD14" s="131" t="b">
        <v>0</v>
      </c>
      <c r="CE14" s="131" t="b">
        <v>0</v>
      </c>
      <c r="CF14" s="131" t="b">
        <v>0</v>
      </c>
      <c r="CG14" s="131" t="b">
        <v>0</v>
      </c>
      <c r="CI14" s="108" t="s">
        <v>647</v>
      </c>
      <c r="CJ14" s="80" t="s">
        <v>682</v>
      </c>
      <c r="CK14" s="80" t="s">
        <v>649</v>
      </c>
      <c r="CL14" s="80">
        <f>IF(ManarahStaffCategories[[#This Row],[الجنسية]]=INDEX(ManarahStaffNationalities[الجنسية],1),
SUMIF(MasajidDB[مصدر مكافأة الخطيب],ManarahStaffCategories[[#This Row],[مصدر المكافأة]],MasajidDB[جنسية الخطيب]),
COUNTIF(MasajidDB[مصدر مكافأة الخطيب],ManarahStaffCategories[[#This Row],[مصدر المكافأة]])-SUMIF(MasajidDB[مصدر مكافأة الخطيب],ManarahStaffCategories[[#This Row],[مصدر المكافأة]],MasajidDB[جنسية الخطيب]))</f>
        <v>0</v>
      </c>
      <c r="CM14" s="80">
        <f>IF(ManarahStaffCategories[[#This Row],[الجنسية]]=INDEX(ManarahStaffNationalities[الجنسية],1),
SUMIF(MasajidDB[مصدر مكافأة الإمام],ManarahStaffCategories[[#This Row],[مصدر المكافأة]],MasajidDB[جنسية الإمام]),
COUNTIF(MasajidDB[مصدر مكافأة الإمام],ManarahStaffCategories[[#This Row],[مصدر المكافأة]])-SUMIF(MasajidDB[مصدر مكافأة الإمام],ManarahStaffCategories[[#This Row],[مصدر المكافأة]],MasajidDB[جنسية الإمام]))</f>
        <v>1</v>
      </c>
      <c r="CN14" s="80">
        <f>IF(ManarahStaffCategories[[#This Row],[الجنسية]]=INDEX(ManarahStaffNationalities[الجنسية],1),
SUMIF(MasajidDB[مصدر مكافأة المؤذن],ManarahStaffCategories[[#This Row],[مصدر المكافأة]],MasajidDB[جنسية المؤذن]),
COUNTIF(MasajidDB[مصدر مكافأة المؤذن],ManarahStaffCategories[[#This Row],[مصدر المكافأة]])-SUMIF(MasajidDB[مصدر مكافأة المؤذن],ManarahStaffCategories[[#This Row],[مصدر المكافأة]],MasajidDB[جنسية المؤذن]))</f>
        <v>1</v>
      </c>
      <c r="CO14" s="80">
        <f>IF(ManarahStaffCategories[[#This Row],[الجنسية]]=INDEX(ManarahStaffNationalities[الجنسية],1),
SUMIF(MasajidDB[مصدر مكافأة مشرف المنشأة التعليمية],ManarahStaffCategories[[#This Row],[مصدر المكافأة]],MasajidDB[جنسية مشرف المنشأة التعليمية]),
COUNTIF(MasajidDB[مصدر مكافأة مشرف المنشأة التعليمية],ManarahStaffCategories[[#This Row],[مصدر المكافأة]])-SUMIF(MasajidDB[مصدر مكافأة مشرف المنشأة التعليمية],ManarahStaffCategories[[#This Row],[مصدر المكافأة]],MasajidDB[جنسية مشرف المنشأة التعليمية]))</f>
        <v>0</v>
      </c>
      <c r="CP14" s="80">
        <f>SUM(ManarahStaffCategories[[#This Row],[عدد الخطباء]],ManarahStaffCategories[[#This Row],[عدد الأئمة]],ManarahStaffCategories[[#This Row],[عدد المؤذنين]],ManarahStaffCategories[[#This Row],[عدد مشرفي المنشآت التعليمية]])</f>
        <v>2</v>
      </c>
    </row>
    <row r="15" spans="1:98" ht="30" customHeight="1" x14ac:dyDescent="0.2">
      <c r="A15" s="109">
        <f>ROW()-ROW(MasajidDB[[#Headers],[م]])</f>
        <v>9</v>
      </c>
      <c r="B15" s="110" t="s">
        <v>227</v>
      </c>
      <c r="C15" s="111" t="s">
        <v>70</v>
      </c>
      <c r="D15" s="111" t="s">
        <v>110</v>
      </c>
      <c r="E15" s="111" t="s">
        <v>72</v>
      </c>
      <c r="F15" s="112" t="s">
        <v>698</v>
      </c>
      <c r="G15" s="112" t="s">
        <v>112</v>
      </c>
      <c r="H15" s="146" t="s">
        <v>650</v>
      </c>
      <c r="I15" s="133">
        <v>26.365661526695899</v>
      </c>
      <c r="J15" s="133">
        <v>50.008482143970099</v>
      </c>
      <c r="K15" s="147" t="s">
        <v>699</v>
      </c>
      <c r="L15" s="119">
        <v>1368</v>
      </c>
      <c r="M15" s="119">
        <v>352</v>
      </c>
      <c r="N15" s="119">
        <v>24</v>
      </c>
      <c r="O15" s="119">
        <v>753</v>
      </c>
      <c r="P15" s="119">
        <v>0</v>
      </c>
      <c r="Q15" s="119">
        <v>0</v>
      </c>
      <c r="R15" s="119">
        <v>0</v>
      </c>
      <c r="S15" s="119">
        <f>IF(ISNUMBER(MasajidDB[[#This Row],[سعة المسجد من المصليين
(رجل)]]),MasajidDB[[#This Row],[سعة المسجد من المصليين
(رجل)]],0)
+IF(ISNUMBER(MasajidDB[[#This Row],[سعة المسجد من المصليات
(امرأة)]]),MasajidDB[[#This Row],[سعة المسجد من المصليات
(امرأة)]],0)</f>
        <v>753</v>
      </c>
      <c r="T15" s="119">
        <v>3</v>
      </c>
      <c r="U15" s="119">
        <v>0</v>
      </c>
      <c r="V15" s="119">
        <v>12</v>
      </c>
      <c r="W15" s="119">
        <v>0</v>
      </c>
      <c r="X15" s="119">
        <v>0</v>
      </c>
      <c r="Y15" s="119">
        <v>0</v>
      </c>
      <c r="Z15" s="119">
        <v>13</v>
      </c>
      <c r="AA15" s="119">
        <v>470</v>
      </c>
      <c r="AB15" s="119">
        <v>8</v>
      </c>
      <c r="AC15" s="119">
        <v>17</v>
      </c>
      <c r="AD15" s="119">
        <v>7</v>
      </c>
      <c r="AE15" s="119">
        <v>0</v>
      </c>
      <c r="AF15" s="119">
        <v>0</v>
      </c>
      <c r="AG15" s="119">
        <v>0</v>
      </c>
      <c r="AH15" s="119">
        <v>0</v>
      </c>
      <c r="AI15" s="119">
        <v>1</v>
      </c>
      <c r="AJ15" s="119">
        <v>12</v>
      </c>
      <c r="AK15" s="120" t="b">
        <v>0</v>
      </c>
      <c r="AL15" s="120" t="b">
        <v>0</v>
      </c>
      <c r="AM15" s="120" t="b">
        <v>0</v>
      </c>
      <c r="AN15" s="121" t="s">
        <v>653</v>
      </c>
      <c r="AO15" s="148"/>
      <c r="AP15" s="136" t="s">
        <v>700</v>
      </c>
      <c r="AQ15" s="136">
        <v>2531523757</v>
      </c>
      <c r="AR15" s="136">
        <v>578121657</v>
      </c>
      <c r="AS15" s="137"/>
      <c r="AT15" s="120" t="b">
        <v>1</v>
      </c>
      <c r="AU15" s="143">
        <f>IF(MasajidDB[[#This Row],[خطيب مسجد؟]],1,0)</f>
        <v>1</v>
      </c>
      <c r="AV15" s="142" t="s">
        <v>701</v>
      </c>
      <c r="AW15" s="142">
        <v>594178664</v>
      </c>
      <c r="AX15" s="142">
        <v>2274086582</v>
      </c>
      <c r="AY15" s="142">
        <f>IFERROR(IF(VALUE(LEFT(MasajidDB[[#This Row],[Column313]],1))=1,1,0),0)</f>
        <v>0</v>
      </c>
      <c r="AZ15" s="142" t="s">
        <v>659</v>
      </c>
      <c r="BA15" s="144" t="b">
        <v>1</v>
      </c>
      <c r="BB15" s="143">
        <f>IF(MasajidDB[[#This Row],[إمام مسجد؟]],1,0)</f>
        <v>1</v>
      </c>
      <c r="BC15" s="142" t="s">
        <v>702</v>
      </c>
      <c r="BD15" s="142">
        <v>578637972</v>
      </c>
      <c r="BE15" s="142">
        <v>2545685402</v>
      </c>
      <c r="BF15" s="142">
        <f>IFERROR(IF(VALUE(LEFT(MasajidDB[[#This Row],[Column316]],1))=1,1,0),0)</f>
        <v>0</v>
      </c>
      <c r="BG15" s="131" t="b">
        <v>1</v>
      </c>
      <c r="BH15" s="142" t="s">
        <v>675</v>
      </c>
      <c r="BI15" s="144" t="b">
        <v>1</v>
      </c>
      <c r="BJ15" s="142">
        <f>IF(MasajidDB[[#This Row],[مؤذن مسجد؟]],1,0)</f>
        <v>1</v>
      </c>
      <c r="BK15" s="142" t="s">
        <v>702</v>
      </c>
      <c r="BL15" s="142">
        <v>578637972</v>
      </c>
      <c r="BM15" s="142">
        <v>2545685402</v>
      </c>
      <c r="BN15" s="142">
        <f>IFERROR(IF(VALUE(LEFT(MasajidDB[[#This Row],[Column319]],1))=1,1,0),0)</f>
        <v>0</v>
      </c>
      <c r="BO15" s="131" t="b">
        <v>1</v>
      </c>
      <c r="BP15" s="135" t="s">
        <v>675</v>
      </c>
      <c r="BQ15" s="131" t="b">
        <v>0</v>
      </c>
      <c r="BR15" s="142">
        <f>IF(MasajidDB[[#This Row],[مشرف على منشأة تعليمية؟]],1,0)</f>
        <v>0</v>
      </c>
      <c r="BS15" s="135"/>
      <c r="BT15" s="135"/>
      <c r="BU15" s="142"/>
      <c r="BV15" s="142">
        <f>IFERROR(IF(VALUE(LEFT(MasajidDB[[#This Row],[Column322]],1))=1,1,0),0)</f>
        <v>0</v>
      </c>
      <c r="BW15" s="142"/>
      <c r="BX15" s="131" t="b">
        <v>1</v>
      </c>
      <c r="BY15" s="131" t="b">
        <v>1</v>
      </c>
      <c r="BZ15" s="131" t="b">
        <v>1</v>
      </c>
      <c r="CA15" s="131" t="b">
        <v>0</v>
      </c>
      <c r="CB15" s="131" t="b">
        <v>1</v>
      </c>
      <c r="CC15" s="131" t="b">
        <v>1</v>
      </c>
      <c r="CD15" s="131" t="b">
        <v>0</v>
      </c>
      <c r="CE15" s="131" t="b">
        <v>0</v>
      </c>
      <c r="CF15" s="131" t="b">
        <v>0</v>
      </c>
      <c r="CG15" s="131" t="b">
        <v>0</v>
      </c>
      <c r="CI15" s="108" t="s">
        <v>647</v>
      </c>
      <c r="CJ15" s="80" t="s">
        <v>682</v>
      </c>
      <c r="CK15" s="80" t="s">
        <v>662</v>
      </c>
      <c r="CL15" s="80">
        <f>IF(ManarahStaffCategories[[#This Row],[الجنسية]]=INDEX(ManarahStaffNationalities[الجنسية],1),
SUMIF(MasajidDB[مصدر مكافأة الخطيب],ManarahStaffCategories[[#This Row],[مصدر المكافأة]],MasajidDB[جنسية الخطيب]),
COUNTIF(MasajidDB[مصدر مكافأة الخطيب],ManarahStaffCategories[[#This Row],[مصدر المكافأة]])-SUMIF(MasajidDB[مصدر مكافأة الخطيب],ManarahStaffCategories[[#This Row],[مصدر المكافأة]],MasajidDB[جنسية الخطيب]))</f>
        <v>0</v>
      </c>
      <c r="CM15" s="80">
        <f>IF(ManarahStaffCategories[[#This Row],[الجنسية]]=INDEX(ManarahStaffNationalities[الجنسية],1),
SUMIF(MasajidDB[مصدر مكافأة الإمام],ManarahStaffCategories[[#This Row],[مصدر المكافأة]],MasajidDB[جنسية الإمام]),
COUNTIF(MasajidDB[مصدر مكافأة الإمام],ManarahStaffCategories[[#This Row],[مصدر المكافأة]])-SUMIF(MasajidDB[مصدر مكافأة الإمام],ManarahStaffCategories[[#This Row],[مصدر المكافأة]],MasajidDB[جنسية الإمام]))</f>
        <v>3</v>
      </c>
      <c r="CN15" s="80">
        <f>IF(ManarahStaffCategories[[#This Row],[الجنسية]]=INDEX(ManarahStaffNationalities[الجنسية],1),
SUMIF(MasajidDB[مصدر مكافأة المؤذن],ManarahStaffCategories[[#This Row],[مصدر المكافأة]],MasajidDB[جنسية المؤذن]),
COUNTIF(MasajidDB[مصدر مكافأة المؤذن],ManarahStaffCategories[[#This Row],[مصدر المكافأة]])-SUMIF(MasajidDB[مصدر مكافأة المؤذن],ManarahStaffCategories[[#This Row],[مصدر المكافأة]],MasajidDB[جنسية المؤذن]))</f>
        <v>3</v>
      </c>
      <c r="CO15" s="80">
        <f>IF(ManarahStaffCategories[[#This Row],[الجنسية]]=INDEX(ManarahStaffNationalities[الجنسية],1),
SUMIF(MasajidDB[مصدر مكافأة مشرف المنشأة التعليمية],ManarahStaffCategories[[#This Row],[مصدر المكافأة]],MasajidDB[جنسية مشرف المنشأة التعليمية]),
COUNTIF(MasajidDB[مصدر مكافأة مشرف المنشأة التعليمية],ManarahStaffCategories[[#This Row],[مصدر المكافأة]])-SUMIF(MasajidDB[مصدر مكافأة مشرف المنشأة التعليمية],ManarahStaffCategories[[#This Row],[مصدر المكافأة]],MasajidDB[جنسية مشرف المنشأة التعليمية]))</f>
        <v>0</v>
      </c>
      <c r="CP15" s="80">
        <f>SUM(ManarahStaffCategories[[#This Row],[عدد الخطباء]],ManarahStaffCategories[[#This Row],[عدد الأئمة]],ManarahStaffCategories[[#This Row],[عدد المؤذنين]],ManarahStaffCategories[[#This Row],[عدد مشرفي المنشآت التعليمية]])</f>
        <v>6</v>
      </c>
    </row>
    <row r="16" spans="1:98" ht="30" customHeight="1" x14ac:dyDescent="0.2">
      <c r="A16" s="109">
        <f>ROW()-ROW(MasajidDB[[#Headers],[م]])</f>
        <v>10</v>
      </c>
      <c r="B16" s="110" t="s">
        <v>227</v>
      </c>
      <c r="C16" s="111" t="s">
        <v>70</v>
      </c>
      <c r="D16" s="111" t="s">
        <v>110</v>
      </c>
      <c r="E16" s="111" t="s">
        <v>94</v>
      </c>
      <c r="F16" s="112" t="s">
        <v>114</v>
      </c>
      <c r="G16" s="112" t="s">
        <v>115</v>
      </c>
      <c r="H16" s="146"/>
      <c r="I16" s="133"/>
      <c r="J16" s="133"/>
      <c r="K16" s="147" t="s">
        <v>699</v>
      </c>
      <c r="L16" s="119">
        <v>57</v>
      </c>
      <c r="M16" s="119">
        <v>42</v>
      </c>
      <c r="N16" s="119">
        <v>5</v>
      </c>
      <c r="O16" s="119">
        <v>70</v>
      </c>
      <c r="P16" s="119">
        <v>0</v>
      </c>
      <c r="Q16" s="119">
        <v>0</v>
      </c>
      <c r="R16" s="119">
        <v>0</v>
      </c>
      <c r="S16" s="119">
        <f>IF(ISNUMBER(MasajidDB[[#This Row],[سعة المسجد من المصليين
(رجل)]]),MasajidDB[[#This Row],[سعة المسجد من المصليين
(رجل)]],0)
+IF(ISNUMBER(MasajidDB[[#This Row],[سعة المسجد من المصليات
(امرأة)]]),MasajidDB[[#This Row],[سعة المسجد من المصليات
(امرأة)]],0)</f>
        <v>70</v>
      </c>
      <c r="T16" s="119">
        <v>4</v>
      </c>
      <c r="U16" s="119">
        <v>0</v>
      </c>
      <c r="V16" s="119">
        <v>8</v>
      </c>
      <c r="W16" s="119">
        <v>0</v>
      </c>
      <c r="X16" s="119">
        <v>0</v>
      </c>
      <c r="Y16" s="119">
        <v>0</v>
      </c>
      <c r="Z16" s="119">
        <v>0</v>
      </c>
      <c r="AA16" s="119">
        <v>25</v>
      </c>
      <c r="AB16" s="119">
        <v>0</v>
      </c>
      <c r="AC16" s="119">
        <v>2</v>
      </c>
      <c r="AD16" s="119">
        <v>0</v>
      </c>
      <c r="AE16" s="119">
        <v>0</v>
      </c>
      <c r="AF16" s="119">
        <v>0</v>
      </c>
      <c r="AG16" s="119">
        <v>0</v>
      </c>
      <c r="AH16" s="119">
        <v>0</v>
      </c>
      <c r="AI16" s="119">
        <v>1</v>
      </c>
      <c r="AJ16" s="119">
        <v>2</v>
      </c>
      <c r="AK16" s="120" t="b">
        <v>0</v>
      </c>
      <c r="AL16" s="120" t="b">
        <v>0</v>
      </c>
      <c r="AM16" s="120" t="b">
        <v>0</v>
      </c>
      <c r="AN16" s="121" t="s">
        <v>653</v>
      </c>
      <c r="AO16" s="148"/>
      <c r="AP16" s="136"/>
      <c r="AQ16" s="136"/>
      <c r="AR16" s="136"/>
      <c r="AS16" s="137"/>
      <c r="AT16" s="120" t="b">
        <v>0</v>
      </c>
      <c r="AU16" s="143">
        <f>IF(MasajidDB[[#This Row],[خطيب مسجد؟]],1,0)</f>
        <v>0</v>
      </c>
      <c r="AV16" s="142"/>
      <c r="AW16" s="142"/>
      <c r="AX16" s="142"/>
      <c r="AY16" s="142">
        <f>IFERROR(IF(VALUE(LEFT(MasajidDB[[#This Row],[Column313]],1))=1,1,0),0)</f>
        <v>0</v>
      </c>
      <c r="AZ16" s="142"/>
      <c r="BA16" s="144" t="b">
        <v>0</v>
      </c>
      <c r="BB16" s="143">
        <f>IF(MasajidDB[[#This Row],[إمام مسجد؟]],1,0)</f>
        <v>0</v>
      </c>
      <c r="BC16" s="142"/>
      <c r="BD16" s="142"/>
      <c r="BE16" s="142"/>
      <c r="BF16" s="142">
        <f>IFERROR(IF(VALUE(LEFT(MasajidDB[[#This Row],[Column316]],1))=1,1,0),0)</f>
        <v>0</v>
      </c>
      <c r="BG16" s="131" t="b">
        <v>0</v>
      </c>
      <c r="BH16" s="142"/>
      <c r="BI16" s="144" t="b">
        <v>0</v>
      </c>
      <c r="BJ16" s="142">
        <f>IF(MasajidDB[[#This Row],[مؤذن مسجد؟]],1,0)</f>
        <v>0</v>
      </c>
      <c r="BK16" s="142"/>
      <c r="BL16" s="142"/>
      <c r="BM16" s="142"/>
      <c r="BN16" s="142">
        <f>IFERROR(IF(VALUE(LEFT(MasajidDB[[#This Row],[Column319]],1))=1,1,0),0)</f>
        <v>0</v>
      </c>
      <c r="BO16" s="131" t="b">
        <v>0</v>
      </c>
      <c r="BP16" s="135"/>
      <c r="BQ16" s="131" t="b">
        <v>0</v>
      </c>
      <c r="BR16" s="142">
        <f>IF(MasajidDB[[#This Row],[مشرف على منشأة تعليمية؟]],1,0)</f>
        <v>0</v>
      </c>
      <c r="BS16" s="135"/>
      <c r="BT16" s="135"/>
      <c r="BU16" s="142"/>
      <c r="BV16" s="142">
        <f>IFERROR(IF(VALUE(LEFT(MasajidDB[[#This Row],[Column322]],1))=1,1,0),0)</f>
        <v>0</v>
      </c>
      <c r="BW16" s="142"/>
      <c r="BX16" s="131" t="b">
        <v>0</v>
      </c>
      <c r="BY16" s="131" t="b">
        <v>1</v>
      </c>
      <c r="BZ16" s="131" t="b">
        <v>0</v>
      </c>
      <c r="CA16" s="131" t="b">
        <v>0</v>
      </c>
      <c r="CB16" s="131" t="b">
        <v>0</v>
      </c>
      <c r="CC16" s="131" t="b">
        <v>0</v>
      </c>
      <c r="CD16" s="131" t="b">
        <v>0</v>
      </c>
      <c r="CE16" s="131" t="b">
        <v>0</v>
      </c>
      <c r="CF16" s="131" t="b">
        <v>0</v>
      </c>
      <c r="CG16" s="131" t="b">
        <v>0</v>
      </c>
      <c r="CI16" s="108" t="s">
        <v>647</v>
      </c>
      <c r="CJ16" s="80" t="s">
        <v>688</v>
      </c>
      <c r="CK16" s="80" t="s">
        <v>649</v>
      </c>
      <c r="CL16" s="80">
        <f>IF(ManarahStaffCategories[[#This Row],[الجنسية]]=INDEX(ManarahStaffNationalities[الجنسية],1),
SUMIF(MasajidDB[مصدر مكافأة الخطيب],ManarahStaffCategories[[#This Row],[مصدر المكافأة]],MasajidDB[جنسية الخطيب]),
COUNTIF(MasajidDB[مصدر مكافأة الخطيب],ManarahStaffCategories[[#This Row],[مصدر المكافأة]])-SUMIF(MasajidDB[مصدر مكافأة الخطيب],ManarahStaffCategories[[#This Row],[مصدر المكافأة]],MasajidDB[جنسية الخطيب]))</f>
        <v>0</v>
      </c>
      <c r="CM16" s="80">
        <f>IF(ManarahStaffCategories[[#This Row],[الجنسية]]=INDEX(ManarahStaffNationalities[الجنسية],1),
SUMIF(MasajidDB[مصدر مكافأة الإمام],ManarahStaffCategories[[#This Row],[مصدر المكافأة]],MasajidDB[جنسية الإمام]),
COUNTIF(MasajidDB[مصدر مكافأة الإمام],ManarahStaffCategories[[#This Row],[مصدر المكافأة]])-SUMIF(MasajidDB[مصدر مكافأة الإمام],ManarahStaffCategories[[#This Row],[مصدر المكافأة]],MasajidDB[جنسية الإمام]))</f>
        <v>1</v>
      </c>
      <c r="CN16" s="80">
        <f>IF(ManarahStaffCategories[[#This Row],[الجنسية]]=INDEX(ManarahStaffNationalities[الجنسية],1),
SUMIF(MasajidDB[مصدر مكافأة المؤذن],ManarahStaffCategories[[#This Row],[مصدر المكافأة]],MasajidDB[جنسية المؤذن]),
COUNTIF(MasajidDB[مصدر مكافأة المؤذن],ManarahStaffCategories[[#This Row],[مصدر المكافأة]])-SUMIF(MasajidDB[مصدر مكافأة المؤذن],ManarahStaffCategories[[#This Row],[مصدر المكافأة]],MasajidDB[جنسية المؤذن]))</f>
        <v>1</v>
      </c>
      <c r="CO16" s="80">
        <f>IF(ManarahStaffCategories[[#This Row],[الجنسية]]=INDEX(ManarahStaffNationalities[الجنسية],1),
SUMIF(MasajidDB[مصدر مكافأة مشرف المنشأة التعليمية],ManarahStaffCategories[[#This Row],[مصدر المكافأة]],MasajidDB[جنسية مشرف المنشأة التعليمية]),
COUNTIF(MasajidDB[مصدر مكافأة مشرف المنشأة التعليمية],ManarahStaffCategories[[#This Row],[مصدر المكافأة]])-SUMIF(MasajidDB[مصدر مكافأة مشرف المنشأة التعليمية],ManarahStaffCategories[[#This Row],[مصدر المكافأة]],MasajidDB[جنسية مشرف المنشأة التعليمية]))</f>
        <v>0</v>
      </c>
      <c r="CP16" s="80">
        <f>SUM(ManarahStaffCategories[[#This Row],[عدد الخطباء]],ManarahStaffCategories[[#This Row],[عدد الأئمة]],ManarahStaffCategories[[#This Row],[عدد المؤذنين]],ManarahStaffCategories[[#This Row],[عدد مشرفي المنشآت التعليمية]])</f>
        <v>2</v>
      </c>
    </row>
    <row r="17" spans="1:94" ht="30" customHeight="1" x14ac:dyDescent="0.2">
      <c r="A17" s="109">
        <f>ROW()-ROW(MasajidDB[[#Headers],[م]])</f>
        <v>11</v>
      </c>
      <c r="B17" s="110" t="s">
        <v>227</v>
      </c>
      <c r="C17" s="111" t="s">
        <v>117</v>
      </c>
      <c r="D17" s="111" t="s">
        <v>118</v>
      </c>
      <c r="E17" s="111" t="s">
        <v>72</v>
      </c>
      <c r="F17" s="112" t="s">
        <v>119</v>
      </c>
      <c r="G17" s="112" t="s">
        <v>120</v>
      </c>
      <c r="H17" s="146" t="s">
        <v>650</v>
      </c>
      <c r="I17" s="133">
        <v>26.961933467671599</v>
      </c>
      <c r="J17" s="133">
        <v>49.627083299999903</v>
      </c>
      <c r="K17" s="147" t="s">
        <v>699</v>
      </c>
      <c r="L17" s="119">
        <v>222</v>
      </c>
      <c r="M17" s="119">
        <v>222</v>
      </c>
      <c r="N17" s="119">
        <v>10</v>
      </c>
      <c r="O17" s="119">
        <v>296</v>
      </c>
      <c r="P17" s="119">
        <v>0</v>
      </c>
      <c r="Q17" s="119">
        <v>0</v>
      </c>
      <c r="R17" s="119">
        <v>0</v>
      </c>
      <c r="S17" s="119">
        <f>IF(ISNUMBER(MasajidDB[[#This Row],[سعة المسجد من المصليين
(رجل)]]),MasajidDB[[#This Row],[سعة المسجد من المصليين
(رجل)]],0)
+IF(ISNUMBER(MasajidDB[[#This Row],[سعة المسجد من المصليات
(امرأة)]]),MasajidDB[[#This Row],[سعة المسجد من المصليات
(امرأة)]],0)</f>
        <v>296</v>
      </c>
      <c r="T17" s="119">
        <v>10</v>
      </c>
      <c r="U17" s="119">
        <v>2</v>
      </c>
      <c r="V17" s="119">
        <v>10</v>
      </c>
      <c r="W17" s="119">
        <v>0</v>
      </c>
      <c r="X17" s="119">
        <v>0</v>
      </c>
      <c r="Y17" s="119">
        <v>0</v>
      </c>
      <c r="Z17" s="119">
        <v>0</v>
      </c>
      <c r="AA17" s="119">
        <v>125</v>
      </c>
      <c r="AB17" s="119">
        <v>10</v>
      </c>
      <c r="AC17" s="119">
        <v>8</v>
      </c>
      <c r="AD17" s="119">
        <v>7</v>
      </c>
      <c r="AE17" s="119">
        <v>0</v>
      </c>
      <c r="AF17" s="119">
        <v>0</v>
      </c>
      <c r="AG17" s="119">
        <v>0</v>
      </c>
      <c r="AH17" s="119">
        <v>0</v>
      </c>
      <c r="AI17" s="119">
        <v>2</v>
      </c>
      <c r="AJ17" s="119">
        <v>8</v>
      </c>
      <c r="AK17" s="120" t="b">
        <v>0</v>
      </c>
      <c r="AL17" s="120" t="b">
        <v>0</v>
      </c>
      <c r="AM17" s="120" t="b">
        <v>0</v>
      </c>
      <c r="AN17" s="121" t="s">
        <v>653</v>
      </c>
      <c r="AO17" s="148"/>
      <c r="AP17" s="135" t="s">
        <v>703</v>
      </c>
      <c r="AQ17" s="135">
        <v>2552965341</v>
      </c>
      <c r="AR17" s="135">
        <v>571595349</v>
      </c>
      <c r="AS17" s="137"/>
      <c r="AT17" s="120" t="b">
        <v>1</v>
      </c>
      <c r="AU17" s="143">
        <f>IF(MasajidDB[[#This Row],[خطيب مسجد؟]],1,0)</f>
        <v>1</v>
      </c>
      <c r="AV17" s="142" t="s">
        <v>704</v>
      </c>
      <c r="AW17" s="142">
        <v>550100173</v>
      </c>
      <c r="AX17" s="142">
        <v>2425792195</v>
      </c>
      <c r="AY17" s="142">
        <f>IFERROR(IF(VALUE(LEFT(MasajidDB[[#This Row],[Column313]],1))=1,1,0),0)</f>
        <v>0</v>
      </c>
      <c r="AZ17" s="142" t="s">
        <v>659</v>
      </c>
      <c r="BA17" s="144" t="b">
        <v>1</v>
      </c>
      <c r="BB17" s="143">
        <f>IF(MasajidDB[[#This Row],[إمام مسجد؟]],1,0)</f>
        <v>1</v>
      </c>
      <c r="BC17" s="142" t="s">
        <v>705</v>
      </c>
      <c r="BD17" s="142">
        <v>570823267</v>
      </c>
      <c r="BE17" s="142">
        <v>2540528307</v>
      </c>
      <c r="BF17" s="142">
        <f>IFERROR(IF(VALUE(LEFT(MasajidDB[[#This Row],[Column316]],1))=1,1,0),0)</f>
        <v>0</v>
      </c>
      <c r="BG17" s="131" t="b">
        <v>1</v>
      </c>
      <c r="BH17" s="142" t="s">
        <v>675</v>
      </c>
      <c r="BI17" s="144" t="b">
        <v>1</v>
      </c>
      <c r="BJ17" s="142">
        <f>IF(MasajidDB[[#This Row],[مؤذن مسجد؟]],1,0)</f>
        <v>1</v>
      </c>
      <c r="BK17" s="142" t="s">
        <v>705</v>
      </c>
      <c r="BL17" s="142">
        <v>570823267</v>
      </c>
      <c r="BM17" s="142">
        <v>2540528307</v>
      </c>
      <c r="BN17" s="142">
        <f>IFERROR(IF(VALUE(LEFT(MasajidDB[[#This Row],[Column319]],1))=1,1,0),0)</f>
        <v>0</v>
      </c>
      <c r="BO17" s="131" t="b">
        <v>1</v>
      </c>
      <c r="BP17" s="135" t="s">
        <v>675</v>
      </c>
      <c r="BQ17" s="131" t="b">
        <v>0</v>
      </c>
      <c r="BR17" s="142">
        <f>IF(MasajidDB[[#This Row],[مشرف على منشأة تعليمية؟]],1,0)</f>
        <v>0</v>
      </c>
      <c r="BS17" s="135"/>
      <c r="BT17" s="135"/>
      <c r="BU17" s="142"/>
      <c r="BV17" s="142">
        <f>IFERROR(IF(VALUE(LEFT(MasajidDB[[#This Row],[Column322]],1))=1,1,0),0)</f>
        <v>0</v>
      </c>
      <c r="BW17" s="142"/>
      <c r="BX17" s="131" t="b">
        <v>1</v>
      </c>
      <c r="BY17" s="131" t="b">
        <v>1</v>
      </c>
      <c r="BZ17" s="131" t="b">
        <v>1</v>
      </c>
      <c r="CA17" s="131" t="b">
        <v>0</v>
      </c>
      <c r="CB17" s="131" t="b">
        <v>1</v>
      </c>
      <c r="CC17" s="131" t="b">
        <v>1</v>
      </c>
      <c r="CD17" s="131" t="b">
        <v>0</v>
      </c>
      <c r="CE17" s="131" t="b">
        <v>0</v>
      </c>
      <c r="CF17" s="131" t="b">
        <v>0</v>
      </c>
      <c r="CG17" s="131" t="b">
        <v>0</v>
      </c>
      <c r="CI17" s="108" t="s">
        <v>647</v>
      </c>
      <c r="CJ17" s="80" t="s">
        <v>688</v>
      </c>
      <c r="CK17" s="80" t="s">
        <v>662</v>
      </c>
      <c r="CL17" s="80">
        <f>IF(ManarahStaffCategories[[#This Row],[الجنسية]]=INDEX(ManarahStaffNationalities[الجنسية],1),
SUMIF(MasajidDB[مصدر مكافأة الخطيب],ManarahStaffCategories[[#This Row],[مصدر المكافأة]],MasajidDB[جنسية الخطيب]),
COUNTIF(MasajidDB[مصدر مكافأة الخطيب],ManarahStaffCategories[[#This Row],[مصدر المكافأة]])-SUMIF(MasajidDB[مصدر مكافأة الخطيب],ManarahStaffCategories[[#This Row],[مصدر المكافأة]],MasajidDB[جنسية الخطيب]))</f>
        <v>0</v>
      </c>
      <c r="CM17" s="80">
        <f>IF(ManarahStaffCategories[[#This Row],[الجنسية]]=INDEX(ManarahStaffNationalities[الجنسية],1),
SUMIF(MasajidDB[مصدر مكافأة الإمام],ManarahStaffCategories[[#This Row],[مصدر المكافأة]],MasajidDB[جنسية الإمام]),
COUNTIF(MasajidDB[مصدر مكافأة الإمام],ManarahStaffCategories[[#This Row],[مصدر المكافأة]])-SUMIF(MasajidDB[مصدر مكافأة الإمام],ManarahStaffCategories[[#This Row],[مصدر المكافأة]],MasajidDB[جنسية الإمام]))</f>
        <v>2</v>
      </c>
      <c r="CN17" s="80">
        <f>IF(ManarahStaffCategories[[#This Row],[الجنسية]]=INDEX(ManarahStaffNationalities[الجنسية],1),
SUMIF(MasajidDB[مصدر مكافأة المؤذن],ManarahStaffCategories[[#This Row],[مصدر المكافأة]],MasajidDB[جنسية المؤذن]),
COUNTIF(MasajidDB[مصدر مكافأة المؤذن],ManarahStaffCategories[[#This Row],[مصدر المكافأة]])-SUMIF(MasajidDB[مصدر مكافأة المؤذن],ManarahStaffCategories[[#This Row],[مصدر المكافأة]],MasajidDB[جنسية المؤذن]))</f>
        <v>2</v>
      </c>
      <c r="CO17" s="80">
        <f>IF(ManarahStaffCategories[[#This Row],[الجنسية]]=INDEX(ManarahStaffNationalities[الجنسية],1),
SUMIF(MasajidDB[مصدر مكافأة مشرف المنشأة التعليمية],ManarahStaffCategories[[#This Row],[مصدر المكافأة]],MasajidDB[جنسية مشرف المنشأة التعليمية]),
COUNTIF(MasajidDB[مصدر مكافأة مشرف المنشأة التعليمية],ManarahStaffCategories[[#This Row],[مصدر المكافأة]])-SUMIF(MasajidDB[مصدر مكافأة مشرف المنشأة التعليمية],ManarahStaffCategories[[#This Row],[مصدر المكافأة]],MasajidDB[جنسية مشرف المنشأة التعليمية]))</f>
        <v>0</v>
      </c>
      <c r="CP17" s="80">
        <f>SUM(ManarahStaffCategories[[#This Row],[عدد الخطباء]],ManarahStaffCategories[[#This Row],[عدد الأئمة]],ManarahStaffCategories[[#This Row],[عدد المؤذنين]],ManarahStaffCategories[[#This Row],[عدد مشرفي المنشآت التعليمية]])</f>
        <v>4</v>
      </c>
    </row>
    <row r="18" spans="1:94" ht="30" customHeight="1" x14ac:dyDescent="0.2">
      <c r="A18" s="109">
        <f>ROW()-ROW(MasajidDB[[#Headers],[م]])</f>
        <v>12</v>
      </c>
      <c r="B18" s="111" t="s">
        <v>226</v>
      </c>
      <c r="C18" s="111" t="s">
        <v>122</v>
      </c>
      <c r="D18" s="111" t="s">
        <v>123</v>
      </c>
      <c r="E18" s="111" t="s">
        <v>72</v>
      </c>
      <c r="F18" s="149" t="s">
        <v>124</v>
      </c>
      <c r="G18" s="149" t="s">
        <v>125</v>
      </c>
      <c r="H18" s="146" t="s">
        <v>650</v>
      </c>
      <c r="I18" s="133">
        <v>21.305743229231599</v>
      </c>
      <c r="J18" s="133">
        <v>39.143938157671698</v>
      </c>
      <c r="K18" s="147" t="s">
        <v>699</v>
      </c>
      <c r="L18" s="119">
        <v>6084</v>
      </c>
      <c r="M18" s="119" t="s">
        <v>706</v>
      </c>
      <c r="N18" s="119">
        <v>14</v>
      </c>
      <c r="O18" s="119">
        <v>450</v>
      </c>
      <c r="P18" s="119">
        <v>0</v>
      </c>
      <c r="Q18" s="119">
        <v>0</v>
      </c>
      <c r="R18" s="119">
        <v>0</v>
      </c>
      <c r="S18" s="119">
        <f>IF(ISNUMBER(MasajidDB[[#This Row],[سعة المسجد من المصليين
(رجل)]]),MasajidDB[[#This Row],[سعة المسجد من المصليين
(رجل)]],0)
+IF(ISNUMBER(MasajidDB[[#This Row],[سعة المسجد من المصليات
(امرأة)]]),MasajidDB[[#This Row],[سعة المسجد من المصليات
(امرأة)]],0)</f>
        <v>450</v>
      </c>
      <c r="T18" s="119">
        <v>7</v>
      </c>
      <c r="U18" s="119">
        <v>0</v>
      </c>
      <c r="V18" s="119">
        <v>13</v>
      </c>
      <c r="W18" s="119">
        <v>0</v>
      </c>
      <c r="X18" s="119">
        <v>0</v>
      </c>
      <c r="Y18" s="119">
        <v>0</v>
      </c>
      <c r="Z18" s="119">
        <v>0</v>
      </c>
      <c r="AA18" s="119">
        <v>116</v>
      </c>
      <c r="AB18" s="119">
        <v>0</v>
      </c>
      <c r="AC18" s="119">
        <v>6</v>
      </c>
      <c r="AD18" s="119">
        <v>0</v>
      </c>
      <c r="AE18" s="119">
        <v>0</v>
      </c>
      <c r="AF18" s="119">
        <v>0</v>
      </c>
      <c r="AG18" s="119">
        <v>0</v>
      </c>
      <c r="AH18" s="119">
        <v>0</v>
      </c>
      <c r="AI18" s="119">
        <v>1</v>
      </c>
      <c r="AJ18" s="119">
        <v>24</v>
      </c>
      <c r="AK18" s="120" t="b">
        <v>0</v>
      </c>
      <c r="AL18" s="120" t="b">
        <v>0</v>
      </c>
      <c r="AM18" s="120" t="b">
        <v>0</v>
      </c>
      <c r="AN18" s="121" t="s">
        <v>653</v>
      </c>
      <c r="AO18" s="148"/>
      <c r="AP18" s="136"/>
      <c r="AQ18" s="136"/>
      <c r="AR18" s="136"/>
      <c r="AS18" s="137"/>
      <c r="AT18" s="120" t="b">
        <v>1</v>
      </c>
      <c r="AU18" s="143">
        <f>IF(MasajidDB[[#This Row],[خطيب مسجد؟]],1,0)</f>
        <v>1</v>
      </c>
      <c r="AV18" s="142" t="s">
        <v>707</v>
      </c>
      <c r="AW18" s="142">
        <v>542601840</v>
      </c>
      <c r="AX18" s="142">
        <v>2077376149</v>
      </c>
      <c r="AY18" s="142">
        <f>IFERROR(IF(VALUE(LEFT(MasajidDB[[#This Row],[Column313]],1))=1,1,0),0)</f>
        <v>0</v>
      </c>
      <c r="AZ18" s="142" t="s">
        <v>659</v>
      </c>
      <c r="BA18" s="144" t="b">
        <v>1</v>
      </c>
      <c r="BB18" s="143">
        <f>IF(MasajidDB[[#This Row],[إمام مسجد؟]],1,0)</f>
        <v>1</v>
      </c>
      <c r="BC18" s="142" t="s">
        <v>708</v>
      </c>
      <c r="BD18" s="142">
        <v>547349598</v>
      </c>
      <c r="BE18" s="142">
        <v>2535818583</v>
      </c>
      <c r="BF18" s="142">
        <f>IFERROR(IF(VALUE(LEFT(MasajidDB[[#This Row],[Column316]],1))=1,1,0),0)</f>
        <v>0</v>
      </c>
      <c r="BG18" s="131" t="b">
        <v>1</v>
      </c>
      <c r="BH18" s="142" t="s">
        <v>675</v>
      </c>
      <c r="BI18" s="144" t="b">
        <v>1</v>
      </c>
      <c r="BJ18" s="142">
        <f>IF(MasajidDB[[#This Row],[مؤذن مسجد؟]],1,0)</f>
        <v>1</v>
      </c>
      <c r="BK18" s="142" t="s">
        <v>708</v>
      </c>
      <c r="BL18" s="142">
        <v>547349598</v>
      </c>
      <c r="BM18" s="142">
        <v>2535818583</v>
      </c>
      <c r="BN18" s="142">
        <f>IFERROR(IF(VALUE(LEFT(MasajidDB[[#This Row],[Column319]],1))=1,1,0),0)</f>
        <v>0</v>
      </c>
      <c r="BO18" s="131" t="b">
        <v>1</v>
      </c>
      <c r="BP18" s="135" t="s">
        <v>675</v>
      </c>
      <c r="BQ18" s="131" t="b">
        <v>0</v>
      </c>
      <c r="BR18" s="142">
        <f>IF(MasajidDB[[#This Row],[مشرف على منشأة تعليمية؟]],1,0)</f>
        <v>0</v>
      </c>
      <c r="BS18" s="135"/>
      <c r="BT18" s="135"/>
      <c r="BU18" s="142"/>
      <c r="BV18" s="142">
        <f>IFERROR(IF(VALUE(LEFT(MasajidDB[[#This Row],[Column322]],1))=1,1,0),0)</f>
        <v>0</v>
      </c>
      <c r="BW18" s="142"/>
      <c r="BX18" s="131" t="b">
        <v>1</v>
      </c>
      <c r="BY18" s="131" t="b">
        <v>1</v>
      </c>
      <c r="BZ18" s="131" t="b">
        <v>1</v>
      </c>
      <c r="CA18" s="131" t="b">
        <v>0</v>
      </c>
      <c r="CB18" s="131" t="b">
        <v>1</v>
      </c>
      <c r="CC18" s="131" t="b">
        <v>1</v>
      </c>
      <c r="CD18" s="131" t="b">
        <v>0</v>
      </c>
      <c r="CE18" s="131" t="b">
        <v>0</v>
      </c>
      <c r="CF18" s="131" t="b">
        <v>0</v>
      </c>
      <c r="CG18" s="131" t="b">
        <v>0</v>
      </c>
    </row>
    <row r="19" spans="1:94" ht="30" customHeight="1" x14ac:dyDescent="0.2">
      <c r="A19" s="109">
        <f>ROW()-ROW(MasajidDB[[#Headers],[م]])</f>
        <v>13</v>
      </c>
      <c r="B19" s="111" t="s">
        <v>227</v>
      </c>
      <c r="C19" s="111" t="s">
        <v>70</v>
      </c>
      <c r="D19" s="111" t="s">
        <v>77</v>
      </c>
      <c r="E19" s="111" t="s">
        <v>127</v>
      </c>
      <c r="F19" s="112" t="s">
        <v>128</v>
      </c>
      <c r="G19" s="112" t="s">
        <v>129</v>
      </c>
      <c r="H19" s="132" t="s">
        <v>663</v>
      </c>
      <c r="I19" s="133">
        <v>26.401066774950401</v>
      </c>
      <c r="J19" s="133">
        <v>50.052861611679901</v>
      </c>
      <c r="K19" s="150" t="s">
        <v>709</v>
      </c>
      <c r="L19" s="119">
        <v>0</v>
      </c>
      <c r="M19" s="119">
        <v>0</v>
      </c>
      <c r="N19" s="119">
        <v>0</v>
      </c>
      <c r="O19" s="119">
        <v>0</v>
      </c>
      <c r="P19" s="119">
        <v>0</v>
      </c>
      <c r="Q19" s="119">
        <v>0</v>
      </c>
      <c r="R19" s="119">
        <v>0</v>
      </c>
      <c r="S19" s="119">
        <f>IF(ISNUMBER(MasajidDB[[#This Row],[سعة المسجد من المصليين
(رجل)]]),MasajidDB[[#This Row],[سعة المسجد من المصليين
(رجل)]],0)
+IF(ISNUMBER(MasajidDB[[#This Row],[سعة المسجد من المصليات
(امرأة)]]),MasajidDB[[#This Row],[سعة المسجد من المصليات
(امرأة)]],0)</f>
        <v>0</v>
      </c>
      <c r="T19" s="119">
        <v>0</v>
      </c>
      <c r="U19" s="119">
        <v>0</v>
      </c>
      <c r="V19" s="119">
        <v>0</v>
      </c>
      <c r="W19" s="119">
        <v>0</v>
      </c>
      <c r="X19" s="119">
        <v>0</v>
      </c>
      <c r="Y19" s="119">
        <v>0</v>
      </c>
      <c r="Z19" s="119">
        <v>0</v>
      </c>
      <c r="AA19" s="119">
        <v>0</v>
      </c>
      <c r="AB19" s="119">
        <v>0</v>
      </c>
      <c r="AC19" s="119">
        <v>0</v>
      </c>
      <c r="AD19" s="119">
        <v>0</v>
      </c>
      <c r="AE19" s="119">
        <v>0</v>
      </c>
      <c r="AF19" s="119">
        <v>0</v>
      </c>
      <c r="AG19" s="119">
        <v>0</v>
      </c>
      <c r="AH19" s="119">
        <v>0</v>
      </c>
      <c r="AI19" s="119">
        <v>0</v>
      </c>
      <c r="AJ19" s="119">
        <v>0</v>
      </c>
      <c r="AK19" s="120" t="b">
        <v>0</v>
      </c>
      <c r="AL19" s="120" t="b">
        <v>0</v>
      </c>
      <c r="AM19" s="120" t="b">
        <v>0</v>
      </c>
      <c r="AN19" s="121" t="s">
        <v>653</v>
      </c>
      <c r="AO19" s="148"/>
      <c r="AP19" s="136" t="s">
        <v>710</v>
      </c>
      <c r="AQ19" s="136">
        <v>2512138120</v>
      </c>
      <c r="AR19" s="136">
        <v>571089925</v>
      </c>
      <c r="AS19" s="137"/>
      <c r="AT19" s="120" t="b">
        <v>0</v>
      </c>
      <c r="AU19" s="143">
        <f>IF(MasajidDB[[#This Row],[خطيب مسجد؟]],1,0)</f>
        <v>0</v>
      </c>
      <c r="AV19" s="142"/>
      <c r="AW19" s="142"/>
      <c r="AX19" s="142"/>
      <c r="AY19" s="142">
        <f>IFERROR(IF(VALUE(LEFT(MasajidDB[[#This Row],[Column313]],1))=1,1,0),0)</f>
        <v>0</v>
      </c>
      <c r="AZ19" s="142"/>
      <c r="BA19" s="144" t="b">
        <v>1</v>
      </c>
      <c r="BB19" s="143">
        <f>IF(MasajidDB[[#This Row],[إمام مسجد؟]],1,0)</f>
        <v>1</v>
      </c>
      <c r="BC19" s="142" t="s">
        <v>711</v>
      </c>
      <c r="BD19" s="142" t="s">
        <v>711</v>
      </c>
      <c r="BE19" s="142" t="s">
        <v>711</v>
      </c>
      <c r="BF19" s="142">
        <f>IFERROR(IF(VALUE(LEFT(MasajidDB[[#This Row],[Column316]],1))=1,1,0),0)</f>
        <v>0</v>
      </c>
      <c r="BG19" s="131" t="b">
        <v>0</v>
      </c>
      <c r="BH19" s="135" t="s">
        <v>688</v>
      </c>
      <c r="BI19" s="144" t="b">
        <v>1</v>
      </c>
      <c r="BJ19" s="142">
        <f>IF(MasajidDB[[#This Row],[مؤذن مسجد؟]],1,0)</f>
        <v>1</v>
      </c>
      <c r="BK19" s="142" t="s">
        <v>711</v>
      </c>
      <c r="BL19" s="142" t="s">
        <v>711</v>
      </c>
      <c r="BM19" s="142" t="s">
        <v>711</v>
      </c>
      <c r="BN19" s="142">
        <f>IFERROR(IF(VALUE(LEFT(MasajidDB[[#This Row],[Column319]],1))=1,1,0),0)</f>
        <v>0</v>
      </c>
      <c r="BO19" s="131" t="b">
        <v>0</v>
      </c>
      <c r="BP19" s="135" t="s">
        <v>688</v>
      </c>
      <c r="BQ19" s="131" t="b">
        <v>0</v>
      </c>
      <c r="BR19" s="142">
        <f>IF(MasajidDB[[#This Row],[مشرف على منشأة تعليمية؟]],1,0)</f>
        <v>0</v>
      </c>
      <c r="BS19" s="135"/>
      <c r="BT19" s="135"/>
      <c r="BU19" s="142"/>
      <c r="BV19" s="142">
        <f>IFERROR(IF(VALUE(LEFT(MasajidDB[[#This Row],[Column322]],1))=1,1,0),0)</f>
        <v>0</v>
      </c>
      <c r="BW19" s="142"/>
      <c r="BX19" s="131" t="b">
        <v>0</v>
      </c>
      <c r="BY19" s="131" t="b">
        <v>1</v>
      </c>
      <c r="BZ19" s="131" t="b">
        <v>0</v>
      </c>
      <c r="CA19" s="131" t="b">
        <v>0</v>
      </c>
      <c r="CB19" s="131" t="b">
        <v>0</v>
      </c>
      <c r="CC19" s="131" t="b">
        <v>0</v>
      </c>
      <c r="CD19" s="131" t="b">
        <v>0</v>
      </c>
      <c r="CE19" s="131" t="b">
        <v>0</v>
      </c>
      <c r="CF19" s="131" t="b">
        <v>0</v>
      </c>
      <c r="CG19" s="131" t="b">
        <v>0</v>
      </c>
    </row>
    <row r="20" spans="1:94" ht="30" customHeight="1" x14ac:dyDescent="0.2">
      <c r="A20" s="109">
        <f>ROW()-ROW(MasajidDB[[#Headers],[م]])</f>
        <v>14</v>
      </c>
      <c r="B20" s="111" t="s">
        <v>228</v>
      </c>
      <c r="C20" s="111" t="s">
        <v>131</v>
      </c>
      <c r="D20" s="111" t="s">
        <v>132</v>
      </c>
      <c r="E20" s="111" t="s">
        <v>133</v>
      </c>
      <c r="F20" s="112" t="s">
        <v>134</v>
      </c>
      <c r="G20" s="112" t="s">
        <v>135</v>
      </c>
      <c r="H20" s="132" t="s">
        <v>650</v>
      </c>
      <c r="I20" s="133">
        <v>23.9982489298296</v>
      </c>
      <c r="J20" s="133">
        <v>38.287618124847</v>
      </c>
      <c r="K20" s="151" t="s">
        <v>699</v>
      </c>
      <c r="L20" s="119">
        <v>170</v>
      </c>
      <c r="M20" s="119">
        <v>96</v>
      </c>
      <c r="N20" s="119">
        <v>6</v>
      </c>
      <c r="O20" s="119">
        <v>200</v>
      </c>
      <c r="P20" s="119">
        <v>0</v>
      </c>
      <c r="Q20" s="119">
        <v>0</v>
      </c>
      <c r="R20" s="119">
        <v>0</v>
      </c>
      <c r="S20" s="119">
        <f>IF(ISNUMBER(MasajidDB[[#This Row],[سعة المسجد من المصليين
(رجل)]]),MasajidDB[[#This Row],[سعة المسجد من المصليين
(رجل)]],0)
+IF(ISNUMBER(MasajidDB[[#This Row],[سعة المسجد من المصليات
(امرأة)]]),MasajidDB[[#This Row],[سعة المسجد من المصليات
(امرأة)]],0)</f>
        <v>200</v>
      </c>
      <c r="T20" s="119">
        <v>5</v>
      </c>
      <c r="U20" s="119">
        <v>0</v>
      </c>
      <c r="V20" s="119">
        <v>0</v>
      </c>
      <c r="W20" s="119">
        <v>0</v>
      </c>
      <c r="X20" s="119">
        <v>0</v>
      </c>
      <c r="Y20" s="119">
        <v>0</v>
      </c>
      <c r="Z20" s="119">
        <v>5</v>
      </c>
      <c r="AA20" s="119">
        <v>35</v>
      </c>
      <c r="AB20" s="119">
        <v>1</v>
      </c>
      <c r="AC20" s="119">
        <v>2</v>
      </c>
      <c r="AD20" s="119">
        <v>0</v>
      </c>
      <c r="AE20" s="119">
        <v>0</v>
      </c>
      <c r="AF20" s="119">
        <v>0</v>
      </c>
      <c r="AG20" s="119">
        <v>0</v>
      </c>
      <c r="AH20" s="119">
        <v>0</v>
      </c>
      <c r="AI20" s="119">
        <v>1</v>
      </c>
      <c r="AJ20" s="119">
        <v>3</v>
      </c>
      <c r="AK20" s="120" t="b">
        <v>0</v>
      </c>
      <c r="AL20" s="120" t="b">
        <v>0</v>
      </c>
      <c r="AM20" s="120" t="b">
        <v>0</v>
      </c>
      <c r="AN20" s="152" t="s">
        <v>712</v>
      </c>
      <c r="AO20" s="148"/>
      <c r="AP20" s="136"/>
      <c r="AQ20" s="136"/>
      <c r="AR20" s="136"/>
      <c r="AS20" s="137"/>
      <c r="AT20" s="120" t="b">
        <v>0</v>
      </c>
      <c r="AU20" s="143">
        <f>IF(MasajidDB[[#This Row],[خطيب مسجد؟]],1,0)</f>
        <v>0</v>
      </c>
      <c r="AV20" s="142"/>
      <c r="AW20" s="142"/>
      <c r="AX20" s="142"/>
      <c r="AY20" s="142">
        <f>IFERROR(IF(VALUE(LEFT(MasajidDB[[#This Row],[Column313]],1))=1,1,0),0)</f>
        <v>0</v>
      </c>
      <c r="AZ20" s="142"/>
      <c r="BA20" s="144" t="b">
        <v>1</v>
      </c>
      <c r="BB20" s="143">
        <f>IF(MasajidDB[[#This Row],[إمام مسجد؟]],1,0)</f>
        <v>1</v>
      </c>
      <c r="BC20" s="142" t="s">
        <v>713</v>
      </c>
      <c r="BD20" s="142" t="s">
        <v>714</v>
      </c>
      <c r="BE20" s="142">
        <v>2354538924</v>
      </c>
      <c r="BF20" s="142">
        <f>IFERROR(IF(VALUE(LEFT(MasajidDB[[#This Row],[Column316]],1))=1,1,0),0)</f>
        <v>0</v>
      </c>
      <c r="BG20" s="131" t="b">
        <v>0</v>
      </c>
      <c r="BH20" s="142" t="s">
        <v>688</v>
      </c>
      <c r="BI20" s="144" t="b">
        <v>1</v>
      </c>
      <c r="BJ20" s="142">
        <f>IF(MasajidDB[[#This Row],[مؤذن مسجد؟]],1,0)</f>
        <v>1</v>
      </c>
      <c r="BK20" s="142" t="s">
        <v>715</v>
      </c>
      <c r="BL20" s="142" t="s">
        <v>716</v>
      </c>
      <c r="BM20" s="142">
        <v>2502437458</v>
      </c>
      <c r="BN20" s="142">
        <f>IFERROR(IF(VALUE(LEFT(MasajidDB[[#This Row],[Column319]],1))=1,1,0),0)</f>
        <v>0</v>
      </c>
      <c r="BO20" s="131" t="b">
        <v>0</v>
      </c>
      <c r="BP20" s="135" t="s">
        <v>688</v>
      </c>
      <c r="BQ20" s="131" t="b">
        <v>0</v>
      </c>
      <c r="BR20" s="142">
        <f>IF(MasajidDB[[#This Row],[مشرف على منشأة تعليمية؟]],1,0)</f>
        <v>0</v>
      </c>
      <c r="BS20" s="135"/>
      <c r="BT20" s="135"/>
      <c r="BU20" s="142"/>
      <c r="BV20" s="142">
        <f>IFERROR(IF(VALUE(LEFT(MasajidDB[[#This Row],[Column322]],1))=1,1,0),0)</f>
        <v>0</v>
      </c>
      <c r="BW20" s="142"/>
      <c r="BX20" s="131" t="b">
        <v>0</v>
      </c>
      <c r="BY20" s="131" t="b">
        <v>1</v>
      </c>
      <c r="BZ20" s="131" t="b">
        <v>0</v>
      </c>
      <c r="CA20" s="131" t="b">
        <v>0</v>
      </c>
      <c r="CB20" s="131" t="b">
        <v>0</v>
      </c>
      <c r="CC20" s="131" t="b">
        <v>0</v>
      </c>
      <c r="CD20" s="131" t="b">
        <v>0</v>
      </c>
      <c r="CE20" s="131" t="b">
        <v>0</v>
      </c>
      <c r="CF20" s="131" t="b">
        <v>0</v>
      </c>
      <c r="CG20" s="131" t="b">
        <v>0</v>
      </c>
    </row>
    <row r="21" spans="1:94" ht="30" customHeight="1" x14ac:dyDescent="0.2">
      <c r="A21" s="109">
        <f>ROW()-ROW(MasajidDB[[#Headers],[م]])</f>
        <v>15</v>
      </c>
      <c r="B21" s="110" t="s">
        <v>227</v>
      </c>
      <c r="C21" s="111" t="s">
        <v>70</v>
      </c>
      <c r="D21" s="153" t="s">
        <v>137</v>
      </c>
      <c r="E21" s="153" t="s">
        <v>94</v>
      </c>
      <c r="F21" s="112" t="s">
        <v>138</v>
      </c>
      <c r="G21" s="112" t="s">
        <v>139</v>
      </c>
      <c r="H21" s="132" t="s">
        <v>650</v>
      </c>
      <c r="I21" s="133">
        <v>26.415220766119901</v>
      </c>
      <c r="J21" s="133">
        <v>50.0760048035783</v>
      </c>
      <c r="K21" s="151" t="s">
        <v>699</v>
      </c>
      <c r="L21" s="119">
        <v>150</v>
      </c>
      <c r="M21" s="119">
        <v>219</v>
      </c>
      <c r="N21" s="119">
        <v>12</v>
      </c>
      <c r="O21" s="119">
        <v>264</v>
      </c>
      <c r="P21" s="119">
        <v>0</v>
      </c>
      <c r="Q21" s="119">
        <v>0</v>
      </c>
      <c r="R21" s="119">
        <v>0</v>
      </c>
      <c r="S21" s="119">
        <f>IF(ISNUMBER(MasajidDB[[#This Row],[سعة المسجد من المصليين
(رجل)]]),MasajidDB[[#This Row],[سعة المسجد من المصليين
(رجل)]],0)
+IF(ISNUMBER(MasajidDB[[#This Row],[سعة المسجد من المصليات
(امرأة)]]),MasajidDB[[#This Row],[سعة المسجد من المصليات
(امرأة)]],0)</f>
        <v>264</v>
      </c>
      <c r="T21" s="119">
        <v>3</v>
      </c>
      <c r="U21" s="119">
        <v>1</v>
      </c>
      <c r="V21" s="119">
        <v>0</v>
      </c>
      <c r="W21" s="119">
        <v>0</v>
      </c>
      <c r="X21" s="119">
        <v>0</v>
      </c>
      <c r="Y21" s="119">
        <v>0</v>
      </c>
      <c r="Z21" s="119">
        <v>0</v>
      </c>
      <c r="AA21" s="119">
        <v>100</v>
      </c>
      <c r="AB21" s="119">
        <v>0</v>
      </c>
      <c r="AC21" s="119">
        <v>6</v>
      </c>
      <c r="AD21" s="119">
        <v>0</v>
      </c>
      <c r="AE21" s="119">
        <v>0</v>
      </c>
      <c r="AF21" s="119">
        <v>0</v>
      </c>
      <c r="AG21" s="119">
        <v>0</v>
      </c>
      <c r="AH21" s="119">
        <v>0</v>
      </c>
      <c r="AI21" s="119">
        <v>3</v>
      </c>
      <c r="AJ21" s="119">
        <v>4</v>
      </c>
      <c r="AK21" s="120" t="b">
        <v>0</v>
      </c>
      <c r="AL21" s="120" t="b">
        <v>0</v>
      </c>
      <c r="AM21" s="120" t="b">
        <v>0</v>
      </c>
      <c r="AN21" s="152" t="s">
        <v>712</v>
      </c>
      <c r="AO21" s="148"/>
      <c r="AP21" s="135"/>
      <c r="AQ21" s="135"/>
      <c r="AR21" s="135"/>
      <c r="AS21" s="137"/>
      <c r="AT21" s="120" t="b">
        <v>0</v>
      </c>
      <c r="AU21" s="143">
        <f>IF(MasajidDB[[#This Row],[خطيب مسجد؟]],1,0)</f>
        <v>0</v>
      </c>
      <c r="AV21" s="142"/>
      <c r="AW21" s="142"/>
      <c r="AX21" s="142"/>
      <c r="AY21" s="142">
        <f>IFERROR(IF(VALUE(LEFT(MasajidDB[[#This Row],[Column313]],1))=1,1,0),0)</f>
        <v>0</v>
      </c>
      <c r="AZ21" s="142"/>
      <c r="BA21" s="144" t="b">
        <v>1</v>
      </c>
      <c r="BB21" s="143">
        <f>IF(MasajidDB[[#This Row],[إمام مسجد؟]],1,0)</f>
        <v>1</v>
      </c>
      <c r="BC21" s="142" t="s">
        <v>717</v>
      </c>
      <c r="BD21" s="142">
        <v>559576215</v>
      </c>
      <c r="BE21" s="142">
        <v>1061697254</v>
      </c>
      <c r="BF21" s="142">
        <f>IFERROR(IF(VALUE(LEFT(MasajidDB[[#This Row],[Column316]],1))=1,1,0),0)</f>
        <v>1</v>
      </c>
      <c r="BG21" s="131" t="b">
        <v>0</v>
      </c>
      <c r="BH21" s="142" t="s">
        <v>659</v>
      </c>
      <c r="BI21" s="144" t="b">
        <v>1</v>
      </c>
      <c r="BJ21" s="142">
        <f>IF(MasajidDB[[#This Row],[مؤذن مسجد؟]],1,0)</f>
        <v>1</v>
      </c>
      <c r="BK21" s="142" t="s">
        <v>717</v>
      </c>
      <c r="BL21" s="142">
        <v>559576215</v>
      </c>
      <c r="BM21" s="142">
        <v>1061697254</v>
      </c>
      <c r="BN21" s="142">
        <f>IFERROR(IF(VALUE(LEFT(MasajidDB[[#This Row],[Column319]],1))=1,1,0),0)</f>
        <v>1</v>
      </c>
      <c r="BO21" s="131" t="b">
        <v>0</v>
      </c>
      <c r="BP21" s="142" t="s">
        <v>659</v>
      </c>
      <c r="BQ21" s="131" t="b">
        <v>0</v>
      </c>
      <c r="BR21" s="142">
        <f>IF(MasajidDB[[#This Row],[مشرف على منشأة تعليمية؟]],1,0)</f>
        <v>0</v>
      </c>
      <c r="BS21" s="135"/>
      <c r="BT21" s="135"/>
      <c r="BU21" s="142"/>
      <c r="BV21" s="142">
        <f>IFERROR(IF(VALUE(LEFT(MasajidDB[[#This Row],[Column322]],1))=1,1,0),0)</f>
        <v>0</v>
      </c>
      <c r="BW21" s="142"/>
      <c r="BX21" s="131" t="b">
        <v>1</v>
      </c>
      <c r="BY21" s="131" t="b">
        <v>1</v>
      </c>
      <c r="BZ21" s="131" t="b">
        <v>0</v>
      </c>
      <c r="CA21" s="131" t="b">
        <v>0</v>
      </c>
      <c r="CB21" s="131" t="b">
        <v>0</v>
      </c>
      <c r="CC21" s="131" t="b">
        <v>0</v>
      </c>
      <c r="CD21" s="131" t="b">
        <v>0</v>
      </c>
      <c r="CE21" s="131" t="b">
        <v>0</v>
      </c>
      <c r="CF21" s="131" t="b">
        <v>0</v>
      </c>
      <c r="CG21" s="131" t="b">
        <v>0</v>
      </c>
    </row>
    <row r="22" spans="1:94" ht="30" customHeight="1" x14ac:dyDescent="0.2">
      <c r="A22" s="109">
        <f>ROW()-ROW(MasajidDB[[#Headers],[م]])</f>
        <v>16</v>
      </c>
      <c r="B22" s="110" t="s">
        <v>230</v>
      </c>
      <c r="C22" s="153" t="s">
        <v>141</v>
      </c>
      <c r="D22" s="153" t="s">
        <v>142</v>
      </c>
      <c r="E22" s="111" t="s">
        <v>72</v>
      </c>
      <c r="F22" s="112" t="s">
        <v>143</v>
      </c>
      <c r="G22" s="112" t="s">
        <v>144</v>
      </c>
      <c r="H22" s="132" t="s">
        <v>650</v>
      </c>
      <c r="I22" s="133">
        <v>17.585878850848601</v>
      </c>
      <c r="J22" s="133">
        <v>42.9360165656107</v>
      </c>
      <c r="K22" s="115" t="s">
        <v>651</v>
      </c>
      <c r="L22" s="119">
        <v>220</v>
      </c>
      <c r="M22" s="119">
        <v>150</v>
      </c>
      <c r="N22" s="119">
        <v>7</v>
      </c>
      <c r="O22" s="119">
        <v>210</v>
      </c>
      <c r="P22" s="119">
        <v>0</v>
      </c>
      <c r="Q22" s="119">
        <v>0</v>
      </c>
      <c r="R22" s="119">
        <v>0</v>
      </c>
      <c r="S22" s="119">
        <f>IF(ISNUMBER(MasajidDB[[#This Row],[سعة المسجد من المصليين
(رجل)]]),MasajidDB[[#This Row],[سعة المسجد من المصليين
(رجل)]],0)
+IF(ISNUMBER(MasajidDB[[#This Row],[سعة المسجد من المصليات
(امرأة)]]),MasajidDB[[#This Row],[سعة المسجد من المصليات
(امرأة)]],0)</f>
        <v>210</v>
      </c>
      <c r="T22" s="119">
        <v>2</v>
      </c>
      <c r="U22" s="119">
        <v>0</v>
      </c>
      <c r="V22" s="119">
        <v>1</v>
      </c>
      <c r="W22" s="119">
        <v>0</v>
      </c>
      <c r="X22" s="119">
        <v>0</v>
      </c>
      <c r="Y22" s="119">
        <v>0</v>
      </c>
      <c r="Z22" s="119">
        <v>30</v>
      </c>
      <c r="AA22" s="119">
        <v>100</v>
      </c>
      <c r="AB22" s="119">
        <v>0</v>
      </c>
      <c r="AC22" s="119">
        <v>5</v>
      </c>
      <c r="AD22" s="119">
        <v>4</v>
      </c>
      <c r="AE22" s="119">
        <v>0</v>
      </c>
      <c r="AF22" s="119">
        <v>0</v>
      </c>
      <c r="AG22" s="119">
        <v>0</v>
      </c>
      <c r="AH22" s="119">
        <v>0</v>
      </c>
      <c r="AI22" s="119">
        <v>2</v>
      </c>
      <c r="AJ22" s="119">
        <v>6</v>
      </c>
      <c r="AK22" s="120" t="b">
        <v>0</v>
      </c>
      <c r="AL22" s="120" t="b">
        <v>0</v>
      </c>
      <c r="AM22" s="120" t="b">
        <v>0</v>
      </c>
      <c r="AN22" s="152" t="s">
        <v>712</v>
      </c>
      <c r="AO22" s="148"/>
      <c r="AP22" s="136"/>
      <c r="AQ22" s="136"/>
      <c r="AR22" s="136"/>
      <c r="AS22" s="137"/>
      <c r="AT22" s="120" t="b">
        <v>1</v>
      </c>
      <c r="AU22" s="143">
        <f>IF(MasajidDB[[#This Row],[خطيب مسجد؟]],1,0)</f>
        <v>1</v>
      </c>
      <c r="AV22" s="142" t="s">
        <v>718</v>
      </c>
      <c r="AW22" s="142">
        <v>561990121</v>
      </c>
      <c r="AX22" s="142">
        <v>1096209067</v>
      </c>
      <c r="AY22" s="130">
        <f>IFERROR(IF(VALUE(LEFT(MasajidDB[[#This Row],[Column313]],1))=1,1,0),0)</f>
        <v>1</v>
      </c>
      <c r="AZ22" s="122" t="s">
        <v>648</v>
      </c>
      <c r="BA22" s="144" t="b">
        <v>1</v>
      </c>
      <c r="BB22" s="143">
        <f>IF(MasajidDB[[#This Row],[إمام مسجد؟]],1,0)</f>
        <v>1</v>
      </c>
      <c r="BC22" s="142" t="s">
        <v>718</v>
      </c>
      <c r="BD22" s="142" t="s">
        <v>719</v>
      </c>
      <c r="BE22" s="142">
        <v>1096209067</v>
      </c>
      <c r="BF22" s="142">
        <f>IFERROR(IF(VALUE(LEFT(MasajidDB[[#This Row],[Column316]],1))=1,1,0),0)</f>
        <v>1</v>
      </c>
      <c r="BG22" s="131" t="b">
        <v>1</v>
      </c>
      <c r="BH22" s="142" t="s">
        <v>648</v>
      </c>
      <c r="BI22" s="144" t="b">
        <v>1</v>
      </c>
      <c r="BJ22" s="142">
        <f>IF(MasajidDB[[#This Row],[مؤذن مسجد؟]],1,0)</f>
        <v>1</v>
      </c>
      <c r="BK22" s="142" t="s">
        <v>720</v>
      </c>
      <c r="BL22" s="142" t="s">
        <v>721</v>
      </c>
      <c r="BM22" s="142">
        <v>1064382227</v>
      </c>
      <c r="BN22" s="142">
        <f>IFERROR(IF(VALUE(LEFT(MasajidDB[[#This Row],[Column319]],1))=1,1,0),0)</f>
        <v>1</v>
      </c>
      <c r="BO22" s="131" t="b">
        <v>1</v>
      </c>
      <c r="BP22" s="135" t="s">
        <v>648</v>
      </c>
      <c r="BQ22" s="131" t="b">
        <v>0</v>
      </c>
      <c r="BR22" s="142">
        <f>IF(MasajidDB[[#This Row],[مشرف على منشأة تعليمية؟]],1,0)</f>
        <v>0</v>
      </c>
      <c r="BS22" s="135"/>
      <c r="BT22" s="135"/>
      <c r="BU22" s="142"/>
      <c r="BV22" s="142">
        <f>IFERROR(IF(VALUE(LEFT(MasajidDB[[#This Row],[Column322]],1))=1,1,0),0)</f>
        <v>0</v>
      </c>
      <c r="BW22" s="142"/>
      <c r="BX22" s="131" t="b">
        <v>1</v>
      </c>
      <c r="BY22" s="131" t="b">
        <v>1</v>
      </c>
      <c r="BZ22" s="131" t="b">
        <v>1</v>
      </c>
      <c r="CA22" s="131" t="b">
        <v>1</v>
      </c>
      <c r="CB22" s="131" t="b">
        <v>1</v>
      </c>
      <c r="CC22" s="131" t="b">
        <v>1</v>
      </c>
      <c r="CD22" s="131" t="b">
        <v>1</v>
      </c>
      <c r="CE22" s="131" t="b">
        <v>1</v>
      </c>
      <c r="CF22" s="131" t="b">
        <v>1</v>
      </c>
      <c r="CG22" s="131" t="b">
        <v>0</v>
      </c>
    </row>
    <row r="23" spans="1:94" ht="30" customHeight="1" x14ac:dyDescent="0.2">
      <c r="A23" s="109">
        <f>ROW()-ROW(MasajidDB[[#Headers],[م]])</f>
        <v>17</v>
      </c>
      <c r="B23" s="110" t="s">
        <v>230</v>
      </c>
      <c r="C23" s="153" t="s">
        <v>141</v>
      </c>
      <c r="D23" s="153" t="s">
        <v>146</v>
      </c>
      <c r="E23" s="111" t="s">
        <v>72</v>
      </c>
      <c r="F23" s="112" t="s">
        <v>147</v>
      </c>
      <c r="G23" s="112" t="s">
        <v>148</v>
      </c>
      <c r="H23" s="154"/>
      <c r="I23" s="133"/>
      <c r="J23" s="133"/>
      <c r="K23" s="115" t="s">
        <v>651</v>
      </c>
      <c r="L23" s="119">
        <v>225</v>
      </c>
      <c r="M23" s="119">
        <v>150</v>
      </c>
      <c r="N23" s="119">
        <v>7</v>
      </c>
      <c r="O23" s="119">
        <v>210</v>
      </c>
      <c r="P23" s="119">
        <v>0</v>
      </c>
      <c r="Q23" s="119">
        <v>0</v>
      </c>
      <c r="R23" s="119">
        <v>0</v>
      </c>
      <c r="S23" s="119">
        <f>IF(ISNUMBER(MasajidDB[[#This Row],[سعة المسجد من المصليين
(رجل)]]),MasajidDB[[#This Row],[سعة المسجد من المصليين
(رجل)]],0)
+IF(ISNUMBER(MasajidDB[[#This Row],[سعة المسجد من المصليات
(امرأة)]]),MasajidDB[[#This Row],[سعة المسجد من المصليات
(امرأة)]],0)</f>
        <v>210</v>
      </c>
      <c r="T23" s="119">
        <v>4</v>
      </c>
      <c r="U23" s="119">
        <v>0</v>
      </c>
      <c r="V23" s="119">
        <v>1</v>
      </c>
      <c r="W23" s="119">
        <v>0</v>
      </c>
      <c r="X23" s="119">
        <v>0</v>
      </c>
      <c r="Y23" s="119">
        <v>0</v>
      </c>
      <c r="Z23" s="119">
        <v>50</v>
      </c>
      <c r="AA23" s="119">
        <v>100</v>
      </c>
      <c r="AB23" s="119">
        <v>0</v>
      </c>
      <c r="AC23" s="119">
        <v>1</v>
      </c>
      <c r="AD23" s="119">
        <v>4</v>
      </c>
      <c r="AE23" s="119">
        <v>0</v>
      </c>
      <c r="AF23" s="119">
        <v>0</v>
      </c>
      <c r="AG23" s="119">
        <v>0</v>
      </c>
      <c r="AH23" s="119">
        <v>0</v>
      </c>
      <c r="AI23" s="119">
        <v>1</v>
      </c>
      <c r="AJ23" s="119">
        <v>6</v>
      </c>
      <c r="AK23" s="120" t="b">
        <v>0</v>
      </c>
      <c r="AL23" s="120" t="b">
        <v>0</v>
      </c>
      <c r="AM23" s="120" t="b">
        <v>0</v>
      </c>
      <c r="AN23" s="152" t="s">
        <v>712</v>
      </c>
      <c r="AO23" s="148"/>
      <c r="AP23" s="136"/>
      <c r="AQ23" s="136"/>
      <c r="AR23" s="136"/>
      <c r="AS23" s="137"/>
      <c r="AT23" s="120" t="b">
        <v>1</v>
      </c>
      <c r="AU23" s="143">
        <f>IF(MasajidDB[[#This Row],[خطيب مسجد؟]],1,0)</f>
        <v>1</v>
      </c>
      <c r="AV23" s="142" t="s">
        <v>722</v>
      </c>
      <c r="AW23" s="142">
        <v>596968941</v>
      </c>
      <c r="AX23" s="142">
        <v>1050460755</v>
      </c>
      <c r="AY23" s="142">
        <f>IFERROR(IF(VALUE(LEFT(MasajidDB[[#This Row],[Column313]],1))=1,1,0),0)</f>
        <v>1</v>
      </c>
      <c r="AZ23" s="142" t="s">
        <v>648</v>
      </c>
      <c r="BA23" s="144" t="b">
        <v>1</v>
      </c>
      <c r="BB23" s="143">
        <f>IF(MasajidDB[[#This Row],[إمام مسجد؟]],1,0)</f>
        <v>1</v>
      </c>
      <c r="BC23" s="142" t="s">
        <v>722</v>
      </c>
      <c r="BD23" s="142" t="s">
        <v>723</v>
      </c>
      <c r="BE23" s="142">
        <v>1050460755</v>
      </c>
      <c r="BF23" s="142">
        <f>IFERROR(IF(VALUE(LEFT(MasajidDB[[#This Row],[Column316]],1))=1,1,0),0)</f>
        <v>1</v>
      </c>
      <c r="BG23" s="131" t="b">
        <v>1</v>
      </c>
      <c r="BH23" s="142" t="s">
        <v>648</v>
      </c>
      <c r="BI23" s="144" t="b">
        <v>1</v>
      </c>
      <c r="BJ23" s="142">
        <f>IF(MasajidDB[[#This Row],[مؤذن مسجد؟]],1,0)</f>
        <v>1</v>
      </c>
      <c r="BK23" s="142" t="s">
        <v>724</v>
      </c>
      <c r="BL23" s="142" t="s">
        <v>725</v>
      </c>
      <c r="BM23" s="142">
        <v>1069677043</v>
      </c>
      <c r="BN23" s="142">
        <f>IFERROR(IF(VALUE(LEFT(MasajidDB[[#This Row],[Column319]],1))=1,1,0),0)</f>
        <v>1</v>
      </c>
      <c r="BO23" s="131" t="b">
        <v>1</v>
      </c>
      <c r="BP23" s="135" t="s">
        <v>648</v>
      </c>
      <c r="BQ23" s="131" t="b">
        <v>0</v>
      </c>
      <c r="BR23" s="142">
        <f>IF(MasajidDB[[#This Row],[مشرف على منشأة تعليمية؟]],1,0)</f>
        <v>0</v>
      </c>
      <c r="BS23" s="135"/>
      <c r="BT23" s="135"/>
      <c r="BU23" s="142"/>
      <c r="BV23" s="142">
        <f>IFERROR(IF(VALUE(LEFT(MasajidDB[[#This Row],[Column322]],1))=1,1,0),0)</f>
        <v>0</v>
      </c>
      <c r="BW23" s="142"/>
      <c r="BX23" s="131" t="b">
        <v>1</v>
      </c>
      <c r="BY23" s="131" t="b">
        <v>1</v>
      </c>
      <c r="BZ23" s="131" t="b">
        <v>1</v>
      </c>
      <c r="CA23" s="131" t="b">
        <v>1</v>
      </c>
      <c r="CB23" s="131" t="b">
        <v>1</v>
      </c>
      <c r="CC23" s="131" t="b">
        <v>1</v>
      </c>
      <c r="CD23" s="131" t="b">
        <v>1</v>
      </c>
      <c r="CE23" s="131" t="b">
        <v>1</v>
      </c>
      <c r="CF23" s="131" t="b">
        <v>1</v>
      </c>
      <c r="CG23" s="131" t="b">
        <v>0</v>
      </c>
    </row>
    <row r="24" spans="1:94" ht="30" customHeight="1" x14ac:dyDescent="0.2">
      <c r="A24" s="109">
        <f>ROW()-ROW(MasajidDB[[#Headers],[م]])</f>
        <v>18</v>
      </c>
      <c r="B24" s="110" t="s">
        <v>227</v>
      </c>
      <c r="C24" s="153" t="s">
        <v>150</v>
      </c>
      <c r="D24" s="153" t="s">
        <v>151</v>
      </c>
      <c r="E24" s="111" t="s">
        <v>94</v>
      </c>
      <c r="F24" s="112" t="s">
        <v>152</v>
      </c>
      <c r="G24" s="112" t="s">
        <v>153</v>
      </c>
      <c r="H24" s="132" t="s">
        <v>650</v>
      </c>
      <c r="I24" s="133">
        <v>26.2206855352369</v>
      </c>
      <c r="J24" s="133">
        <v>49.4393610999999</v>
      </c>
      <c r="K24" s="151" t="s">
        <v>699</v>
      </c>
      <c r="L24" s="119">
        <v>150</v>
      </c>
      <c r="M24" s="119">
        <v>100</v>
      </c>
      <c r="N24" s="119">
        <v>7</v>
      </c>
      <c r="O24" s="119">
        <v>140</v>
      </c>
      <c r="P24" s="119">
        <v>0</v>
      </c>
      <c r="Q24" s="119">
        <v>0</v>
      </c>
      <c r="R24" s="119">
        <v>0</v>
      </c>
      <c r="S24" s="119">
        <f>IF(ISNUMBER(MasajidDB[[#This Row],[سعة المسجد من المصليين
(رجل)]]),MasajidDB[[#This Row],[سعة المسجد من المصليين
(رجل)]],0)
+IF(ISNUMBER(MasajidDB[[#This Row],[سعة المسجد من المصليات
(امرأة)]]),MasajidDB[[#This Row],[سعة المسجد من المصليات
(امرأة)]],0)</f>
        <v>140</v>
      </c>
      <c r="T24" s="119">
        <v>1</v>
      </c>
      <c r="U24" s="119">
        <v>1</v>
      </c>
      <c r="V24" s="119">
        <v>5</v>
      </c>
      <c r="W24" s="119">
        <v>0</v>
      </c>
      <c r="X24" s="119">
        <v>0</v>
      </c>
      <c r="Y24" s="119">
        <v>0</v>
      </c>
      <c r="Z24" s="119">
        <v>13</v>
      </c>
      <c r="AA24" s="119">
        <v>78</v>
      </c>
      <c r="AB24" s="119">
        <v>0</v>
      </c>
      <c r="AC24" s="119">
        <v>4</v>
      </c>
      <c r="AD24" s="119">
        <v>0</v>
      </c>
      <c r="AE24" s="119">
        <v>0</v>
      </c>
      <c r="AF24" s="119">
        <v>0</v>
      </c>
      <c r="AG24" s="119">
        <v>0</v>
      </c>
      <c r="AH24" s="119">
        <v>0</v>
      </c>
      <c r="AI24" s="119">
        <v>1</v>
      </c>
      <c r="AJ24" s="119">
        <v>4</v>
      </c>
      <c r="AK24" s="120" t="b">
        <v>0</v>
      </c>
      <c r="AL24" s="120" t="b">
        <v>0</v>
      </c>
      <c r="AM24" s="120" t="b">
        <v>0</v>
      </c>
      <c r="AN24" s="152" t="s">
        <v>653</v>
      </c>
      <c r="AO24" s="148"/>
      <c r="AP24" s="136"/>
      <c r="AQ24" s="136"/>
      <c r="AR24" s="136"/>
      <c r="AS24" s="137"/>
      <c r="AT24" s="120" t="b">
        <v>0</v>
      </c>
      <c r="AU24" s="143">
        <f>IF(MasajidDB[[#This Row],[خطيب مسجد؟]],1,0)</f>
        <v>0</v>
      </c>
      <c r="AV24" s="142"/>
      <c r="AW24" s="142"/>
      <c r="AX24" s="142"/>
      <c r="AY24" s="142">
        <f>IFERROR(IF(VALUE(LEFT(MasajidDB[[#This Row],[Column313]],1))=1,1,0),0)</f>
        <v>0</v>
      </c>
      <c r="AZ24" s="142"/>
      <c r="BA24" s="144" t="b">
        <v>1</v>
      </c>
      <c r="BB24" s="143">
        <f>IF(MasajidDB[[#This Row],[إمام مسجد؟]],1,0)</f>
        <v>1</v>
      </c>
      <c r="BC24" s="142" t="s">
        <v>726</v>
      </c>
      <c r="BD24" s="142" t="s">
        <v>727</v>
      </c>
      <c r="BE24" s="142">
        <v>2383147036</v>
      </c>
      <c r="BF24" s="142">
        <f>IFERROR(IF(VALUE(LEFT(MasajidDB[[#This Row],[Column316]],1))=1,1,0),0)</f>
        <v>0</v>
      </c>
      <c r="BG24" s="131" t="b">
        <v>1</v>
      </c>
      <c r="BH24" s="142" t="s">
        <v>682</v>
      </c>
      <c r="BI24" s="144" t="b">
        <v>1</v>
      </c>
      <c r="BJ24" s="142">
        <f>IF(MasajidDB[[#This Row],[مؤذن مسجد؟]],1,0)</f>
        <v>1</v>
      </c>
      <c r="BK24" s="142" t="s">
        <v>726</v>
      </c>
      <c r="BL24" s="142" t="s">
        <v>727</v>
      </c>
      <c r="BM24" s="142">
        <v>2383147036</v>
      </c>
      <c r="BN24" s="142">
        <f>IFERROR(IF(VALUE(LEFT(MasajidDB[[#This Row],[Column319]],1))=1,1,0),0)</f>
        <v>0</v>
      </c>
      <c r="BO24" s="131" t="b">
        <v>1</v>
      </c>
      <c r="BP24" s="142" t="s">
        <v>682</v>
      </c>
      <c r="BQ24" s="131" t="b">
        <v>0</v>
      </c>
      <c r="BR24" s="142">
        <f>IF(MasajidDB[[#This Row],[مشرف على منشأة تعليمية؟]],1,0)</f>
        <v>0</v>
      </c>
      <c r="BS24" s="135"/>
      <c r="BT24" s="135"/>
      <c r="BU24" s="142"/>
      <c r="BV24" s="142">
        <f>IFERROR(IF(VALUE(LEFT(MasajidDB[[#This Row],[Column322]],1))=1,1,0),0)</f>
        <v>0</v>
      </c>
      <c r="BW24" s="142"/>
      <c r="BX24" s="131" t="b">
        <v>1</v>
      </c>
      <c r="BY24" s="131" t="b">
        <v>1</v>
      </c>
      <c r="BZ24" s="131" t="b">
        <v>0</v>
      </c>
      <c r="CA24" s="131" t="b">
        <v>0</v>
      </c>
      <c r="CB24" s="131" t="b">
        <v>0</v>
      </c>
      <c r="CC24" s="131" t="b">
        <v>0</v>
      </c>
      <c r="CD24" s="131" t="b">
        <v>0</v>
      </c>
      <c r="CE24" s="131" t="b">
        <v>0</v>
      </c>
      <c r="CF24" s="131" t="b">
        <v>0</v>
      </c>
      <c r="CG24" s="131" t="b">
        <v>0</v>
      </c>
    </row>
    <row r="25" spans="1:94" ht="30" customHeight="1" x14ac:dyDescent="0.2">
      <c r="A25" s="109">
        <f>ROW()-ROW(MasajidDB[[#Headers],[م]])</f>
        <v>19</v>
      </c>
      <c r="B25" s="110" t="s">
        <v>227</v>
      </c>
      <c r="C25" s="111" t="s">
        <v>70</v>
      </c>
      <c r="D25" s="111" t="s">
        <v>82</v>
      </c>
      <c r="E25" s="111" t="s">
        <v>155</v>
      </c>
      <c r="F25" s="112" t="s">
        <v>156</v>
      </c>
      <c r="G25" s="112" t="s">
        <v>157</v>
      </c>
      <c r="H25" s="132" t="s">
        <v>650</v>
      </c>
      <c r="I25" s="133">
        <v>26.3697928062291</v>
      </c>
      <c r="J25" s="133">
        <v>50.098631297490499</v>
      </c>
      <c r="K25" s="150" t="s">
        <v>709</v>
      </c>
      <c r="L25" s="119">
        <v>0</v>
      </c>
      <c r="M25" s="119">
        <v>0</v>
      </c>
      <c r="N25" s="119">
        <v>0</v>
      </c>
      <c r="O25" s="119">
        <v>0</v>
      </c>
      <c r="P25" s="119">
        <v>0</v>
      </c>
      <c r="Q25" s="119">
        <v>0</v>
      </c>
      <c r="R25" s="119">
        <v>0</v>
      </c>
      <c r="S25" s="119">
        <f>IF(ISNUMBER(MasajidDB[[#This Row],[سعة المسجد من المصليين
(رجل)]]),MasajidDB[[#This Row],[سعة المسجد من المصليين
(رجل)]],0)
+IF(ISNUMBER(MasajidDB[[#This Row],[سعة المسجد من المصليات
(امرأة)]]),MasajidDB[[#This Row],[سعة المسجد من المصليات
(امرأة)]],0)</f>
        <v>0</v>
      </c>
      <c r="T25" s="119">
        <v>0</v>
      </c>
      <c r="U25" s="119">
        <v>0</v>
      </c>
      <c r="V25" s="119">
        <v>0</v>
      </c>
      <c r="W25" s="119">
        <v>0</v>
      </c>
      <c r="X25" s="119">
        <v>0</v>
      </c>
      <c r="Y25" s="119">
        <v>0</v>
      </c>
      <c r="Z25" s="119">
        <v>0</v>
      </c>
      <c r="AA25" s="119">
        <v>0</v>
      </c>
      <c r="AB25" s="119">
        <v>0</v>
      </c>
      <c r="AC25" s="119">
        <v>0</v>
      </c>
      <c r="AD25" s="119">
        <v>0</v>
      </c>
      <c r="AE25" s="119">
        <v>0</v>
      </c>
      <c r="AF25" s="119">
        <v>0</v>
      </c>
      <c r="AG25" s="119">
        <v>0</v>
      </c>
      <c r="AH25" s="119">
        <v>0</v>
      </c>
      <c r="AI25" s="119">
        <v>0</v>
      </c>
      <c r="AJ25" s="119">
        <v>0</v>
      </c>
      <c r="AK25" s="120" t="b">
        <v>0</v>
      </c>
      <c r="AL25" s="120" t="b">
        <v>0</v>
      </c>
      <c r="AM25" s="120" t="b">
        <v>0</v>
      </c>
      <c r="AN25" s="121" t="s">
        <v>653</v>
      </c>
      <c r="AO25" s="148"/>
      <c r="AP25" s="136" t="s">
        <v>728</v>
      </c>
      <c r="AQ25" s="136">
        <v>1046271779</v>
      </c>
      <c r="AR25" s="136">
        <v>558785446</v>
      </c>
      <c r="AS25" s="137"/>
      <c r="AT25" s="120" t="b">
        <v>0</v>
      </c>
      <c r="AU25" s="143">
        <f>IF(MasajidDB[[#This Row],[خطيب مسجد؟]],1,0)</f>
        <v>0</v>
      </c>
      <c r="AV25" s="142"/>
      <c r="AW25" s="142"/>
      <c r="AX25" s="142"/>
      <c r="AY25" s="142">
        <f>IFERROR(IF(VALUE(LEFT(MasajidDB[[#This Row],[Column313]],1))=1,1,0),0)</f>
        <v>0</v>
      </c>
      <c r="AZ25" s="142"/>
      <c r="BA25" s="144" t="b">
        <v>0</v>
      </c>
      <c r="BB25" s="143">
        <f>IF(MasajidDB[[#This Row],[إمام مسجد؟]],1,0)</f>
        <v>0</v>
      </c>
      <c r="BC25" s="142"/>
      <c r="BD25" s="142"/>
      <c r="BE25" s="142"/>
      <c r="BF25" s="142">
        <f>IFERROR(IF(VALUE(LEFT(MasajidDB[[#This Row],[Column316]],1))=1,1,0),0)</f>
        <v>0</v>
      </c>
      <c r="BG25" s="131" t="b">
        <v>0</v>
      </c>
      <c r="BH25" s="142"/>
      <c r="BI25" s="144" t="b">
        <v>0</v>
      </c>
      <c r="BJ25" s="142">
        <f>IF(MasajidDB[[#This Row],[مؤذن مسجد؟]],1,0)</f>
        <v>0</v>
      </c>
      <c r="BK25" s="142"/>
      <c r="BL25" s="142"/>
      <c r="BM25" s="142"/>
      <c r="BN25" s="142">
        <f>IFERROR(IF(VALUE(LEFT(MasajidDB[[#This Row],[Column319]],1))=1,1,0),0)</f>
        <v>0</v>
      </c>
      <c r="BO25" s="131" t="b">
        <v>0</v>
      </c>
      <c r="BP25" s="135"/>
      <c r="BQ25" s="131" t="b">
        <v>1</v>
      </c>
      <c r="BR25" s="142">
        <f>IF(MasajidDB[[#This Row],[مشرف على منشأة تعليمية؟]],1,0)</f>
        <v>1</v>
      </c>
      <c r="BS25" s="135" t="s">
        <v>729</v>
      </c>
      <c r="BT25" s="135">
        <v>566690407</v>
      </c>
      <c r="BU25" s="142">
        <v>1016636696</v>
      </c>
      <c r="BV25" s="142">
        <f>IFERROR(IF(VALUE(LEFT(MasajidDB[[#This Row],[Column322]],1))=1,1,0),0)</f>
        <v>1</v>
      </c>
      <c r="BW25" s="142" t="s">
        <v>659</v>
      </c>
      <c r="BX25" s="131" t="b">
        <v>0</v>
      </c>
      <c r="BY25" s="131" t="b">
        <v>1</v>
      </c>
      <c r="BZ25" s="131" t="b">
        <v>0</v>
      </c>
      <c r="CA25" s="131" t="b">
        <v>0</v>
      </c>
      <c r="CB25" s="131" t="b">
        <v>0</v>
      </c>
      <c r="CC25" s="131" t="b">
        <v>0</v>
      </c>
      <c r="CD25" s="131" t="b">
        <v>0</v>
      </c>
      <c r="CE25" s="131" t="b">
        <v>0</v>
      </c>
      <c r="CF25" s="131" t="b">
        <v>0</v>
      </c>
      <c r="CG25" s="131" t="b">
        <v>0</v>
      </c>
    </row>
    <row r="26" spans="1:94" ht="30" customHeight="1" x14ac:dyDescent="0.2">
      <c r="A26" s="109">
        <f>ROW()-ROW(MasajidDB[[#Headers],[م]])</f>
        <v>20</v>
      </c>
      <c r="B26" s="111" t="s">
        <v>227</v>
      </c>
      <c r="C26" s="111" t="s">
        <v>70</v>
      </c>
      <c r="D26" s="111" t="s">
        <v>82</v>
      </c>
      <c r="E26" s="111" t="s">
        <v>155</v>
      </c>
      <c r="F26" s="112" t="s">
        <v>159</v>
      </c>
      <c r="G26" s="112" t="s">
        <v>160</v>
      </c>
      <c r="H26" s="132" t="s">
        <v>650</v>
      </c>
      <c r="I26" s="133">
        <v>26.3697952093436</v>
      </c>
      <c r="J26" s="133">
        <v>50.098640685221902</v>
      </c>
      <c r="K26" s="150" t="s">
        <v>709</v>
      </c>
      <c r="L26" s="119">
        <v>0</v>
      </c>
      <c r="M26" s="119">
        <v>0</v>
      </c>
      <c r="N26" s="119">
        <v>0</v>
      </c>
      <c r="O26" s="119">
        <v>0</v>
      </c>
      <c r="P26" s="119">
        <v>0</v>
      </c>
      <c r="Q26" s="119">
        <v>0</v>
      </c>
      <c r="R26" s="119">
        <v>0</v>
      </c>
      <c r="S26" s="119">
        <f>IF(ISNUMBER(MasajidDB[[#This Row],[سعة المسجد من المصليين
(رجل)]]),MasajidDB[[#This Row],[سعة المسجد من المصليين
(رجل)]],0)
+IF(ISNUMBER(MasajidDB[[#This Row],[سعة المسجد من المصليات
(امرأة)]]),MasajidDB[[#This Row],[سعة المسجد من المصليات
(امرأة)]],0)</f>
        <v>0</v>
      </c>
      <c r="T26" s="119">
        <v>0</v>
      </c>
      <c r="U26" s="119">
        <v>0</v>
      </c>
      <c r="V26" s="119">
        <v>0</v>
      </c>
      <c r="W26" s="119">
        <v>0</v>
      </c>
      <c r="X26" s="119">
        <v>0</v>
      </c>
      <c r="Y26" s="119">
        <v>0</v>
      </c>
      <c r="Z26" s="119">
        <v>0</v>
      </c>
      <c r="AA26" s="119">
        <v>0</v>
      </c>
      <c r="AB26" s="119">
        <v>0</v>
      </c>
      <c r="AC26" s="119">
        <v>0</v>
      </c>
      <c r="AD26" s="119">
        <v>0</v>
      </c>
      <c r="AE26" s="119">
        <v>0</v>
      </c>
      <c r="AF26" s="119">
        <v>0</v>
      </c>
      <c r="AG26" s="119">
        <v>0</v>
      </c>
      <c r="AH26" s="119">
        <v>0</v>
      </c>
      <c r="AI26" s="119">
        <v>0</v>
      </c>
      <c r="AJ26" s="119">
        <v>0</v>
      </c>
      <c r="AK26" s="120" t="b">
        <v>0</v>
      </c>
      <c r="AL26" s="120" t="b">
        <v>0</v>
      </c>
      <c r="AM26" s="120" t="b">
        <v>0</v>
      </c>
      <c r="AN26" s="121" t="s">
        <v>653</v>
      </c>
      <c r="AO26" s="148"/>
      <c r="AP26" s="135" t="s">
        <v>730</v>
      </c>
      <c r="AQ26" s="136">
        <v>1043904695</v>
      </c>
      <c r="AR26" s="135">
        <v>568446173</v>
      </c>
      <c r="AS26" s="137"/>
      <c r="AT26" s="120" t="b">
        <v>0</v>
      </c>
      <c r="AU26" s="143">
        <f>IF(MasajidDB[[#This Row],[خطيب مسجد؟]],1,0)</f>
        <v>0</v>
      </c>
      <c r="AV26" s="142"/>
      <c r="AW26" s="142"/>
      <c r="AX26" s="142"/>
      <c r="AY26" s="142">
        <f>IFERROR(IF(VALUE(LEFT(MasajidDB[[#This Row],[Column313]],1))=1,1,0),0)</f>
        <v>0</v>
      </c>
      <c r="AZ26" s="142"/>
      <c r="BA26" s="144" t="b">
        <v>0</v>
      </c>
      <c r="BB26" s="143">
        <f>IF(MasajidDB[[#This Row],[إمام مسجد؟]],1,0)</f>
        <v>0</v>
      </c>
      <c r="BC26" s="142"/>
      <c r="BD26" s="142"/>
      <c r="BE26" s="142"/>
      <c r="BF26" s="142">
        <f>IFERROR(IF(VALUE(LEFT(MasajidDB[[#This Row],[Column316]],1))=1,1,0),0)</f>
        <v>0</v>
      </c>
      <c r="BG26" s="131" t="b">
        <v>0</v>
      </c>
      <c r="BH26" s="142"/>
      <c r="BI26" s="144" t="b">
        <v>0</v>
      </c>
      <c r="BJ26" s="142">
        <f>IF(MasajidDB[[#This Row],[مؤذن مسجد؟]],1,0)</f>
        <v>0</v>
      </c>
      <c r="BK26" s="142"/>
      <c r="BL26" s="142"/>
      <c r="BM26" s="142"/>
      <c r="BN26" s="142">
        <f>IFERROR(IF(VALUE(LEFT(MasajidDB[[#This Row],[Column319]],1))=1,1,0),0)</f>
        <v>0</v>
      </c>
      <c r="BO26" s="131" t="b">
        <v>0</v>
      </c>
      <c r="BP26" s="135"/>
      <c r="BQ26" s="131" t="b">
        <v>0</v>
      </c>
      <c r="BR26" s="142">
        <f>IF(MasajidDB[[#This Row],[مشرف على منشأة تعليمية؟]],1,0)</f>
        <v>0</v>
      </c>
      <c r="BS26" s="135"/>
      <c r="BT26" s="135"/>
      <c r="BU26" s="142"/>
      <c r="BV26" s="142">
        <f>IFERROR(IF(VALUE(LEFT(MasajidDB[[#This Row],[Column322]],1))=1,1,0),0)</f>
        <v>0</v>
      </c>
      <c r="BW26" s="142"/>
      <c r="BX26" s="131" t="b">
        <v>0</v>
      </c>
      <c r="BY26" s="131" t="b">
        <v>1</v>
      </c>
      <c r="BZ26" s="131" t="b">
        <v>0</v>
      </c>
      <c r="CA26" s="131" t="b">
        <v>0</v>
      </c>
      <c r="CB26" s="131" t="b">
        <v>0</v>
      </c>
      <c r="CC26" s="131" t="b">
        <v>0</v>
      </c>
      <c r="CD26" s="131" t="b">
        <v>0</v>
      </c>
      <c r="CE26" s="131" t="b">
        <v>0</v>
      </c>
      <c r="CF26" s="131" t="b">
        <v>0</v>
      </c>
      <c r="CG26" s="131" t="b">
        <v>0</v>
      </c>
    </row>
    <row r="27" spans="1:94" ht="30" customHeight="1" x14ac:dyDescent="0.2">
      <c r="A27" s="109">
        <f>ROW()-ROW(MasajidDB[[#Headers],[م]])</f>
        <v>21</v>
      </c>
      <c r="B27" s="111" t="s">
        <v>226</v>
      </c>
      <c r="C27" s="111" t="s">
        <v>676</v>
      </c>
      <c r="D27" s="111" t="s">
        <v>88</v>
      </c>
      <c r="E27" s="111" t="s">
        <v>155</v>
      </c>
      <c r="F27" s="112" t="s">
        <v>162</v>
      </c>
      <c r="G27" s="112" t="s">
        <v>163</v>
      </c>
      <c r="H27" s="132" t="s">
        <v>650</v>
      </c>
      <c r="I27" s="133">
        <v>21.3536820556617</v>
      </c>
      <c r="J27" s="133">
        <v>39.839819342290603</v>
      </c>
      <c r="K27" s="150" t="s">
        <v>709</v>
      </c>
      <c r="L27" s="119">
        <v>0</v>
      </c>
      <c r="M27" s="119">
        <v>0</v>
      </c>
      <c r="N27" s="119">
        <v>0</v>
      </c>
      <c r="O27" s="119">
        <v>0</v>
      </c>
      <c r="P27" s="119">
        <v>0</v>
      </c>
      <c r="Q27" s="119">
        <v>0</v>
      </c>
      <c r="R27" s="119">
        <v>0</v>
      </c>
      <c r="S27" s="119">
        <f>IF(ISNUMBER(MasajidDB[[#This Row],[سعة المسجد من المصليين
(رجل)]]),MasajidDB[[#This Row],[سعة المسجد من المصليين
(رجل)]],0)
+IF(ISNUMBER(MasajidDB[[#This Row],[سعة المسجد من المصليات
(امرأة)]]),MasajidDB[[#This Row],[سعة المسجد من المصليات
(امرأة)]],0)</f>
        <v>0</v>
      </c>
      <c r="T27" s="119">
        <v>0</v>
      </c>
      <c r="U27" s="119">
        <v>0</v>
      </c>
      <c r="V27" s="119">
        <v>0</v>
      </c>
      <c r="W27" s="119">
        <v>0</v>
      </c>
      <c r="X27" s="119">
        <v>0</v>
      </c>
      <c r="Y27" s="119">
        <v>0</v>
      </c>
      <c r="Z27" s="119">
        <v>0</v>
      </c>
      <c r="AA27" s="119">
        <v>0</v>
      </c>
      <c r="AB27" s="119">
        <v>0</v>
      </c>
      <c r="AC27" s="119">
        <v>0</v>
      </c>
      <c r="AD27" s="119">
        <v>0</v>
      </c>
      <c r="AE27" s="119">
        <v>0</v>
      </c>
      <c r="AF27" s="119">
        <v>0</v>
      </c>
      <c r="AG27" s="119">
        <v>0</v>
      </c>
      <c r="AH27" s="119">
        <v>0</v>
      </c>
      <c r="AI27" s="119">
        <v>0</v>
      </c>
      <c r="AJ27" s="119">
        <v>0</v>
      </c>
      <c r="AK27" s="120" t="b">
        <v>0</v>
      </c>
      <c r="AL27" s="120" t="b">
        <v>0</v>
      </c>
      <c r="AM27" s="120" t="b">
        <v>0</v>
      </c>
      <c r="AN27" s="121" t="s">
        <v>653</v>
      </c>
      <c r="AO27" s="148"/>
      <c r="AP27" s="135" t="s">
        <v>731</v>
      </c>
      <c r="AQ27" s="136">
        <v>1002216354</v>
      </c>
      <c r="AR27" s="135">
        <v>500770160</v>
      </c>
      <c r="AS27" s="137"/>
      <c r="AT27" s="120" t="b">
        <v>0</v>
      </c>
      <c r="AU27" s="143">
        <f>IF(MasajidDB[[#This Row],[خطيب مسجد؟]],1,0)</f>
        <v>0</v>
      </c>
      <c r="AV27" s="142"/>
      <c r="AW27" s="142"/>
      <c r="AX27" s="142"/>
      <c r="AY27" s="142">
        <f>IFERROR(IF(VALUE(LEFT(MasajidDB[[#This Row],[Column313]],1))=1,1,0),0)</f>
        <v>0</v>
      </c>
      <c r="AZ27" s="142"/>
      <c r="BA27" s="144" t="b">
        <v>0</v>
      </c>
      <c r="BB27" s="143">
        <f>IF(MasajidDB[[#This Row],[إمام مسجد؟]],1,0)</f>
        <v>0</v>
      </c>
      <c r="BC27" s="142"/>
      <c r="BD27" s="142"/>
      <c r="BE27" s="142"/>
      <c r="BF27" s="142">
        <f>IFERROR(IF(VALUE(LEFT(MasajidDB[[#This Row],[Column316]],1))=1,1,0),0)</f>
        <v>0</v>
      </c>
      <c r="BG27" s="131" t="b">
        <v>0</v>
      </c>
      <c r="BH27" s="142"/>
      <c r="BI27" s="144" t="b">
        <v>0</v>
      </c>
      <c r="BJ27" s="142">
        <f>IF(MasajidDB[[#This Row],[مؤذن مسجد؟]],1,0)</f>
        <v>0</v>
      </c>
      <c r="BK27" s="142"/>
      <c r="BL27" s="142"/>
      <c r="BM27" s="142"/>
      <c r="BN27" s="142">
        <f>IFERROR(IF(VALUE(LEFT(MasajidDB[[#This Row],[Column319]],1))=1,1,0),0)</f>
        <v>0</v>
      </c>
      <c r="BO27" s="131" t="b">
        <v>0</v>
      </c>
      <c r="BP27" s="135"/>
      <c r="BQ27" s="131" t="b">
        <v>1</v>
      </c>
      <c r="BR27" s="142">
        <f>IF(MasajidDB[[#This Row],[مشرف على منشأة تعليمية؟]],1,0)</f>
        <v>1</v>
      </c>
      <c r="BS27" s="135" t="s">
        <v>732</v>
      </c>
      <c r="BT27" s="135">
        <v>502109511</v>
      </c>
      <c r="BU27" s="142">
        <v>2373170097</v>
      </c>
      <c r="BV27" s="142">
        <f>IFERROR(IF(VALUE(LEFT(MasajidDB[[#This Row],[Column322]],1))=1,1,0),0)</f>
        <v>0</v>
      </c>
      <c r="BW27" s="142" t="s">
        <v>659</v>
      </c>
      <c r="BX27" s="131" t="b">
        <v>0</v>
      </c>
      <c r="BY27" s="131" t="b">
        <v>1</v>
      </c>
      <c r="BZ27" s="131" t="b">
        <v>0</v>
      </c>
      <c r="CA27" s="131" t="b">
        <v>0</v>
      </c>
      <c r="CB27" s="131" t="b">
        <v>0</v>
      </c>
      <c r="CC27" s="131" t="b">
        <v>0</v>
      </c>
      <c r="CD27" s="131" t="b">
        <v>0</v>
      </c>
      <c r="CE27" s="131" t="b">
        <v>0</v>
      </c>
      <c r="CF27" s="131" t="b">
        <v>0</v>
      </c>
      <c r="CG27" s="131" t="b">
        <v>0</v>
      </c>
    </row>
    <row r="28" spans="1:94" ht="30" customHeight="1" x14ac:dyDescent="0.2">
      <c r="A28" s="109">
        <f>ROW()-ROW(MasajidDB[[#Headers],[م]])</f>
        <v>22</v>
      </c>
      <c r="B28" s="110" t="s">
        <v>227</v>
      </c>
      <c r="C28" s="111" t="s">
        <v>70</v>
      </c>
      <c r="D28" s="153" t="s">
        <v>165</v>
      </c>
      <c r="E28" s="153" t="s">
        <v>94</v>
      </c>
      <c r="F28" s="112" t="s">
        <v>166</v>
      </c>
      <c r="G28" s="112" t="s">
        <v>167</v>
      </c>
      <c r="H28" s="155" t="s">
        <v>650</v>
      </c>
      <c r="I28" s="133">
        <v>26.2485342044736</v>
      </c>
      <c r="J28" s="133">
        <v>50.007654530785501</v>
      </c>
      <c r="K28" s="156" t="s">
        <v>699</v>
      </c>
      <c r="L28" s="119">
        <v>48</v>
      </c>
      <c r="M28" s="119">
        <v>48</v>
      </c>
      <c r="N28" s="119">
        <v>3</v>
      </c>
      <c r="O28" s="119">
        <v>110</v>
      </c>
      <c r="P28" s="119">
        <v>0</v>
      </c>
      <c r="Q28" s="119">
        <v>0</v>
      </c>
      <c r="R28" s="119">
        <v>0</v>
      </c>
      <c r="S28" s="119">
        <f>IF(ISNUMBER(MasajidDB[[#This Row],[سعة المسجد من المصليين
(رجل)]]),MasajidDB[[#This Row],[سعة المسجد من المصليين
(رجل)]],0)
+IF(ISNUMBER(MasajidDB[[#This Row],[سعة المسجد من المصليات
(امرأة)]]),MasajidDB[[#This Row],[سعة المسجد من المصليات
(امرأة)]],0)</f>
        <v>110</v>
      </c>
      <c r="T28" s="119">
        <v>0</v>
      </c>
      <c r="U28" s="119">
        <v>0</v>
      </c>
      <c r="V28" s="119">
        <v>0</v>
      </c>
      <c r="W28" s="119">
        <v>0</v>
      </c>
      <c r="X28" s="119">
        <v>0</v>
      </c>
      <c r="Y28" s="119">
        <v>0</v>
      </c>
      <c r="Z28" s="119">
        <v>0</v>
      </c>
      <c r="AA28" s="119">
        <v>8</v>
      </c>
      <c r="AB28" s="119">
        <v>0</v>
      </c>
      <c r="AC28" s="119">
        <v>1</v>
      </c>
      <c r="AD28" s="119">
        <v>1</v>
      </c>
      <c r="AE28" s="119">
        <v>0</v>
      </c>
      <c r="AF28" s="119">
        <v>0</v>
      </c>
      <c r="AG28" s="119">
        <v>0</v>
      </c>
      <c r="AH28" s="119">
        <v>0</v>
      </c>
      <c r="AI28" s="119">
        <v>1</v>
      </c>
      <c r="AJ28" s="119">
        <v>6</v>
      </c>
      <c r="AK28" s="120" t="b">
        <v>0</v>
      </c>
      <c r="AL28" s="120" t="b">
        <v>0</v>
      </c>
      <c r="AM28" s="120" t="b">
        <v>0</v>
      </c>
      <c r="AN28" s="157" t="s">
        <v>712</v>
      </c>
      <c r="AO28" s="148"/>
      <c r="AP28" s="135"/>
      <c r="AQ28" s="135"/>
      <c r="AR28" s="135"/>
      <c r="AS28" s="137"/>
      <c r="AT28" s="120" t="b">
        <v>0</v>
      </c>
      <c r="AU28" s="143">
        <f>IF(MasajidDB[[#This Row],[خطيب مسجد؟]],1,0)</f>
        <v>0</v>
      </c>
      <c r="AV28" s="142"/>
      <c r="AW28" s="142"/>
      <c r="AX28" s="142"/>
      <c r="AY28" s="142">
        <f>IFERROR(IF(VALUE(LEFT(MasajidDB[[#This Row],[Column313]],1))=1,1,0),0)</f>
        <v>0</v>
      </c>
      <c r="AZ28" s="142"/>
      <c r="BA28" s="144" t="b">
        <v>0</v>
      </c>
      <c r="BB28" s="143">
        <f>IF(MasajidDB[[#This Row],[إمام مسجد؟]],1,0)</f>
        <v>0</v>
      </c>
      <c r="BC28" s="142"/>
      <c r="BD28" s="142"/>
      <c r="BE28" s="142"/>
      <c r="BF28" s="142">
        <f>IFERROR(IF(VALUE(LEFT(MasajidDB[[#This Row],[Column316]],1))=1,1,0),0)</f>
        <v>0</v>
      </c>
      <c r="BG28" s="131" t="b">
        <v>0</v>
      </c>
      <c r="BH28" s="142"/>
      <c r="BI28" s="144" t="b">
        <v>0</v>
      </c>
      <c r="BJ28" s="142">
        <f>IF(MasajidDB[[#This Row],[مؤذن مسجد؟]],1,0)</f>
        <v>0</v>
      </c>
      <c r="BK28" s="142"/>
      <c r="BL28" s="142"/>
      <c r="BM28" s="142"/>
      <c r="BN28" s="142">
        <f>IFERROR(IF(VALUE(LEFT(MasajidDB[[#This Row],[Column319]],1))=1,1,0),0)</f>
        <v>0</v>
      </c>
      <c r="BO28" s="131" t="b">
        <v>0</v>
      </c>
      <c r="BP28" s="135"/>
      <c r="BQ28" s="131" t="b">
        <v>0</v>
      </c>
      <c r="BR28" s="142">
        <f>IF(MasajidDB[[#This Row],[مشرف على منشأة تعليمية؟]],1,0)</f>
        <v>0</v>
      </c>
      <c r="BS28" s="135"/>
      <c r="BT28" s="135"/>
      <c r="BU28" s="142"/>
      <c r="BV28" s="142">
        <f>IFERROR(IF(VALUE(LEFT(MasajidDB[[#This Row],[Column322]],1))=1,1,0),0)</f>
        <v>0</v>
      </c>
      <c r="BW28" s="142"/>
      <c r="BX28" s="131" t="b">
        <v>0</v>
      </c>
      <c r="BY28" s="131" t="b">
        <v>1</v>
      </c>
      <c r="BZ28" s="131" t="b">
        <v>0</v>
      </c>
      <c r="CA28" s="131" t="b">
        <v>0</v>
      </c>
      <c r="CB28" s="131" t="b">
        <v>0</v>
      </c>
      <c r="CC28" s="131" t="b">
        <v>0</v>
      </c>
      <c r="CD28" s="131" t="b">
        <v>0</v>
      </c>
      <c r="CE28" s="131" t="b">
        <v>0</v>
      </c>
      <c r="CF28" s="131" t="b">
        <v>0</v>
      </c>
      <c r="CG28" s="131" t="b">
        <v>0</v>
      </c>
    </row>
    <row r="29" spans="1:94" ht="30" customHeight="1" x14ac:dyDescent="0.2">
      <c r="A29" s="109">
        <f>ROW()-ROW(MasajidDB[[#Headers],[م]])</f>
        <v>23</v>
      </c>
      <c r="B29" s="110" t="s">
        <v>227</v>
      </c>
      <c r="C29" s="111" t="s">
        <v>70</v>
      </c>
      <c r="D29" s="153" t="s">
        <v>165</v>
      </c>
      <c r="E29" s="153" t="s">
        <v>72</v>
      </c>
      <c r="F29" s="112" t="s">
        <v>169</v>
      </c>
      <c r="G29" s="112" t="s">
        <v>170</v>
      </c>
      <c r="H29" s="132" t="s">
        <v>650</v>
      </c>
      <c r="I29" s="133">
        <v>26.258872846749298</v>
      </c>
      <c r="J29" s="133">
        <v>49.951186342328199</v>
      </c>
      <c r="K29" s="156" t="s">
        <v>699</v>
      </c>
      <c r="L29" s="119">
        <v>660</v>
      </c>
      <c r="M29" s="119">
        <v>352</v>
      </c>
      <c r="N29" s="119">
        <v>11</v>
      </c>
      <c r="O29" s="119">
        <v>448</v>
      </c>
      <c r="P29" s="119">
        <v>0</v>
      </c>
      <c r="Q29" s="119">
        <v>0</v>
      </c>
      <c r="R29" s="119">
        <v>0</v>
      </c>
      <c r="S29" s="119">
        <f>IF(ISNUMBER(MasajidDB[[#This Row],[سعة المسجد من المصليين
(رجل)]]),MasajidDB[[#This Row],[سعة المسجد من المصليين
(رجل)]],0)
+IF(ISNUMBER(MasajidDB[[#This Row],[سعة المسجد من المصليات
(امرأة)]]),MasajidDB[[#This Row],[سعة المسجد من المصليات
(امرأة)]],0)</f>
        <v>448</v>
      </c>
      <c r="T29" s="119">
        <v>7</v>
      </c>
      <c r="U29" s="119">
        <v>0</v>
      </c>
      <c r="V29" s="119">
        <v>14</v>
      </c>
      <c r="W29" s="119">
        <v>0</v>
      </c>
      <c r="X29" s="119">
        <v>0</v>
      </c>
      <c r="Y29" s="119">
        <v>0</v>
      </c>
      <c r="Z29" s="119">
        <v>0</v>
      </c>
      <c r="AA29" s="119">
        <v>10</v>
      </c>
      <c r="AB29" s="119">
        <v>0</v>
      </c>
      <c r="AC29" s="119">
        <v>0</v>
      </c>
      <c r="AD29" s="119">
        <v>0</v>
      </c>
      <c r="AE29" s="119">
        <v>0</v>
      </c>
      <c r="AF29" s="119">
        <v>0</v>
      </c>
      <c r="AG29" s="119">
        <v>0</v>
      </c>
      <c r="AH29" s="119">
        <v>0</v>
      </c>
      <c r="AI29" s="119">
        <v>2</v>
      </c>
      <c r="AJ29" s="119">
        <v>0</v>
      </c>
      <c r="AK29" s="120" t="b">
        <v>0</v>
      </c>
      <c r="AL29" s="120" t="b">
        <v>0</v>
      </c>
      <c r="AM29" s="120" t="b">
        <v>0</v>
      </c>
      <c r="AN29" s="157" t="s">
        <v>712</v>
      </c>
      <c r="AO29" s="148"/>
      <c r="AP29" s="135"/>
      <c r="AQ29" s="135"/>
      <c r="AR29" s="135"/>
      <c r="AS29" s="137"/>
      <c r="AT29" s="120" t="b">
        <v>0</v>
      </c>
      <c r="AU29" s="143">
        <f>IF(MasajidDB[[#This Row],[خطيب مسجد؟]],1,0)</f>
        <v>0</v>
      </c>
      <c r="AV29" s="142"/>
      <c r="AW29" s="142"/>
      <c r="AX29" s="142"/>
      <c r="AY29" s="142">
        <f>IFERROR(IF(VALUE(LEFT(MasajidDB[[#This Row],[Column313]],1))=1,1,0),0)</f>
        <v>0</v>
      </c>
      <c r="AZ29" s="142"/>
      <c r="BA29" s="144" t="b">
        <v>0</v>
      </c>
      <c r="BB29" s="143">
        <f>IF(MasajidDB[[#This Row],[إمام مسجد؟]],1,0)</f>
        <v>0</v>
      </c>
      <c r="BC29" s="142"/>
      <c r="BD29" s="142"/>
      <c r="BE29" s="142"/>
      <c r="BF29" s="142">
        <f>IFERROR(IF(VALUE(LEFT(MasajidDB[[#This Row],[Column316]],1))=1,1,0),0)</f>
        <v>0</v>
      </c>
      <c r="BG29" s="131" t="b">
        <v>0</v>
      </c>
      <c r="BH29" s="142"/>
      <c r="BI29" s="144" t="b">
        <v>0</v>
      </c>
      <c r="BJ29" s="142">
        <f>IF(MasajidDB[[#This Row],[مؤذن مسجد؟]],1,0)</f>
        <v>0</v>
      </c>
      <c r="BK29" s="142"/>
      <c r="BL29" s="142"/>
      <c r="BM29" s="142"/>
      <c r="BN29" s="142">
        <f>IFERROR(IF(VALUE(LEFT(MasajidDB[[#This Row],[Column319]],1))=1,1,0),0)</f>
        <v>0</v>
      </c>
      <c r="BO29" s="131" t="b">
        <v>0</v>
      </c>
      <c r="BP29" s="135"/>
      <c r="BQ29" s="131" t="b">
        <v>0</v>
      </c>
      <c r="BR29" s="142">
        <f>IF(MasajidDB[[#This Row],[مشرف على منشأة تعليمية؟]],1,0)</f>
        <v>0</v>
      </c>
      <c r="BS29" s="135"/>
      <c r="BT29" s="135"/>
      <c r="BU29" s="142"/>
      <c r="BV29" s="142">
        <f>IFERROR(IF(VALUE(LEFT(MasajidDB[[#This Row],[Column322]],1))=1,1,0),0)</f>
        <v>0</v>
      </c>
      <c r="BW29" s="142"/>
      <c r="BX29" s="131" t="b">
        <v>0</v>
      </c>
      <c r="BY29" s="131" t="b">
        <v>1</v>
      </c>
      <c r="BZ29" s="131" t="b">
        <v>0</v>
      </c>
      <c r="CA29" s="131" t="b">
        <v>0</v>
      </c>
      <c r="CB29" s="131" t="b">
        <v>1</v>
      </c>
      <c r="CC29" s="131" t="b">
        <v>0</v>
      </c>
      <c r="CD29" s="131" t="b">
        <v>0</v>
      </c>
      <c r="CE29" s="131" t="b">
        <v>0</v>
      </c>
      <c r="CF29" s="131" t="b">
        <v>0</v>
      </c>
      <c r="CG29" s="131" t="b">
        <v>0</v>
      </c>
    </row>
    <row r="30" spans="1:94" ht="30" customHeight="1" x14ac:dyDescent="0.2">
      <c r="A30" s="109">
        <f>ROW()-ROW(MasajidDB[[#Headers],[م]])</f>
        <v>24</v>
      </c>
      <c r="B30" s="110" t="s">
        <v>227</v>
      </c>
      <c r="C30" s="111" t="s">
        <v>70</v>
      </c>
      <c r="D30" s="153" t="s">
        <v>172</v>
      </c>
      <c r="E30" s="153" t="s">
        <v>94</v>
      </c>
      <c r="F30" s="112" t="s">
        <v>173</v>
      </c>
      <c r="G30" s="112" t="s">
        <v>174</v>
      </c>
      <c r="H30" s="132" t="s">
        <v>650</v>
      </c>
      <c r="I30" s="133">
        <v>26.395721712876401</v>
      </c>
      <c r="J30" s="133">
        <v>50.123265071164099</v>
      </c>
      <c r="K30" s="156" t="s">
        <v>699</v>
      </c>
      <c r="L30" s="119">
        <v>156</v>
      </c>
      <c r="M30" s="119">
        <v>96</v>
      </c>
      <c r="N30" s="119">
        <v>6</v>
      </c>
      <c r="O30" s="119">
        <v>216</v>
      </c>
      <c r="P30" s="119">
        <v>0</v>
      </c>
      <c r="Q30" s="119">
        <v>0</v>
      </c>
      <c r="R30" s="119">
        <v>0</v>
      </c>
      <c r="S30" s="119">
        <f>IF(ISNUMBER(MasajidDB[[#This Row],[سعة المسجد من المصليين
(رجل)]]),MasajidDB[[#This Row],[سعة المسجد من المصليين
(رجل)]],0)
+IF(ISNUMBER(MasajidDB[[#This Row],[سعة المسجد من المصليات
(امرأة)]]),MasajidDB[[#This Row],[سعة المسجد من المصليات
(امرأة)]],0)</f>
        <v>216</v>
      </c>
      <c r="T30" s="119">
        <v>5</v>
      </c>
      <c r="U30" s="119">
        <v>0</v>
      </c>
      <c r="V30" s="119">
        <v>5</v>
      </c>
      <c r="W30" s="119">
        <v>0</v>
      </c>
      <c r="X30" s="119">
        <v>0</v>
      </c>
      <c r="Y30" s="119">
        <v>0</v>
      </c>
      <c r="Z30" s="119">
        <v>6</v>
      </c>
      <c r="AA30" s="119">
        <v>35</v>
      </c>
      <c r="AB30" s="119">
        <v>2</v>
      </c>
      <c r="AC30" s="119">
        <v>1</v>
      </c>
      <c r="AD30" s="119">
        <v>0</v>
      </c>
      <c r="AE30" s="119">
        <v>0</v>
      </c>
      <c r="AF30" s="119">
        <v>0</v>
      </c>
      <c r="AG30" s="119">
        <v>0</v>
      </c>
      <c r="AH30" s="119">
        <v>0</v>
      </c>
      <c r="AI30" s="119">
        <v>1</v>
      </c>
      <c r="AJ30" s="119">
        <v>2</v>
      </c>
      <c r="AK30" s="120" t="b">
        <v>0</v>
      </c>
      <c r="AL30" s="120" t="b">
        <v>0</v>
      </c>
      <c r="AM30" s="120" t="b">
        <v>0</v>
      </c>
      <c r="AN30" s="157" t="s">
        <v>712</v>
      </c>
      <c r="AO30" s="148"/>
      <c r="AP30" s="135"/>
      <c r="AQ30" s="135"/>
      <c r="AR30" s="135"/>
      <c r="AS30" s="137"/>
      <c r="AT30" s="120" t="b">
        <v>0</v>
      </c>
      <c r="AU30" s="143">
        <f>IF(MasajidDB[[#This Row],[خطيب مسجد؟]],1,0)</f>
        <v>0</v>
      </c>
      <c r="AV30" s="142"/>
      <c r="AW30" s="142"/>
      <c r="AX30" s="142"/>
      <c r="AY30" s="142">
        <f>IFERROR(IF(VALUE(LEFT(MasajidDB[[#This Row],[Column313]],1))=1,1,0),0)</f>
        <v>0</v>
      </c>
      <c r="AZ30" s="142"/>
      <c r="BA30" s="144" t="b">
        <v>0</v>
      </c>
      <c r="BB30" s="143">
        <f>IF(MasajidDB[[#This Row],[إمام مسجد؟]],1,0)</f>
        <v>0</v>
      </c>
      <c r="BC30" s="142"/>
      <c r="BD30" s="142"/>
      <c r="BE30" s="142"/>
      <c r="BF30" s="142">
        <f>IFERROR(IF(VALUE(LEFT(MasajidDB[[#This Row],[Column316]],1))=1,1,0),0)</f>
        <v>0</v>
      </c>
      <c r="BG30" s="131" t="b">
        <v>0</v>
      </c>
      <c r="BH30" s="142"/>
      <c r="BI30" s="144" t="b">
        <v>0</v>
      </c>
      <c r="BJ30" s="142">
        <f>IF(MasajidDB[[#This Row],[مؤذن مسجد؟]],1,0)</f>
        <v>0</v>
      </c>
      <c r="BK30" s="142"/>
      <c r="BL30" s="142"/>
      <c r="BM30" s="142"/>
      <c r="BN30" s="142">
        <f>IFERROR(IF(VALUE(LEFT(MasajidDB[[#This Row],[Column319]],1))=1,1,0),0)</f>
        <v>0</v>
      </c>
      <c r="BO30" s="131" t="b">
        <v>0</v>
      </c>
      <c r="BP30" s="135"/>
      <c r="BQ30" s="131" t="b">
        <v>0</v>
      </c>
      <c r="BR30" s="142">
        <f>IF(MasajidDB[[#This Row],[مشرف على منشأة تعليمية؟]],1,0)</f>
        <v>0</v>
      </c>
      <c r="BS30" s="135"/>
      <c r="BT30" s="135"/>
      <c r="BU30" s="142"/>
      <c r="BV30" s="142">
        <f>IFERROR(IF(VALUE(LEFT(MasajidDB[[#This Row],[Column322]],1))=1,1,0),0)</f>
        <v>0</v>
      </c>
      <c r="BW30" s="142"/>
      <c r="BX30" s="131" t="b">
        <v>0</v>
      </c>
      <c r="BY30" s="131" t="b">
        <v>1</v>
      </c>
      <c r="BZ30" s="131" t="b">
        <v>0</v>
      </c>
      <c r="CA30" s="131" t="b">
        <v>0</v>
      </c>
      <c r="CB30" s="131" t="b">
        <v>0</v>
      </c>
      <c r="CC30" s="131" t="b">
        <v>0</v>
      </c>
      <c r="CD30" s="131" t="b">
        <v>0</v>
      </c>
      <c r="CE30" s="131" t="b">
        <v>0</v>
      </c>
      <c r="CF30" s="131" t="b">
        <v>0</v>
      </c>
      <c r="CG30" s="131" t="b">
        <v>0</v>
      </c>
    </row>
    <row r="31" spans="1:94" ht="30" customHeight="1" x14ac:dyDescent="0.2">
      <c r="A31" s="109">
        <f>ROW()-ROW(MasajidDB[[#Headers],[م]])</f>
        <v>25</v>
      </c>
      <c r="B31" s="110" t="s">
        <v>227</v>
      </c>
      <c r="C31" s="111" t="s">
        <v>70</v>
      </c>
      <c r="D31" s="153" t="s">
        <v>77</v>
      </c>
      <c r="E31" s="153" t="s">
        <v>133</v>
      </c>
      <c r="F31" s="112" t="s">
        <v>176</v>
      </c>
      <c r="G31" s="112" t="s">
        <v>177</v>
      </c>
      <c r="H31" s="132" t="s">
        <v>650</v>
      </c>
      <c r="I31" s="133">
        <v>26.400527508368601</v>
      </c>
      <c r="J31" s="133">
        <v>50.050226617481101</v>
      </c>
      <c r="K31" s="156" t="s">
        <v>699</v>
      </c>
      <c r="L31" s="119">
        <v>140</v>
      </c>
      <c r="M31" s="119">
        <v>140</v>
      </c>
      <c r="N31" s="119">
        <v>11</v>
      </c>
      <c r="O31" s="119">
        <v>176</v>
      </c>
      <c r="P31" s="119">
        <v>0</v>
      </c>
      <c r="Q31" s="119">
        <v>0</v>
      </c>
      <c r="R31" s="119">
        <v>0</v>
      </c>
      <c r="S31" s="119">
        <f>IF(ISNUMBER(MasajidDB[[#This Row],[سعة المسجد من المصليين
(رجل)]]),MasajidDB[[#This Row],[سعة المسجد من المصليين
(رجل)]],0)
+IF(ISNUMBER(MasajidDB[[#This Row],[سعة المسجد من المصليات
(امرأة)]]),MasajidDB[[#This Row],[سعة المسجد من المصليات
(امرأة)]],0)</f>
        <v>176</v>
      </c>
      <c r="T31" s="119">
        <v>0</v>
      </c>
      <c r="U31" s="119">
        <v>0</v>
      </c>
      <c r="V31" s="119">
        <v>0</v>
      </c>
      <c r="W31" s="119">
        <v>0</v>
      </c>
      <c r="X31" s="119">
        <v>0</v>
      </c>
      <c r="Y31" s="119">
        <v>0</v>
      </c>
      <c r="Z31" s="119">
        <v>0</v>
      </c>
      <c r="AA31" s="119">
        <v>30</v>
      </c>
      <c r="AB31" s="119">
        <v>2</v>
      </c>
      <c r="AC31" s="119">
        <v>4</v>
      </c>
      <c r="AD31" s="119">
        <v>0</v>
      </c>
      <c r="AE31" s="119">
        <v>0</v>
      </c>
      <c r="AF31" s="119">
        <v>0</v>
      </c>
      <c r="AG31" s="119">
        <v>0</v>
      </c>
      <c r="AH31" s="119">
        <v>0</v>
      </c>
      <c r="AI31" s="119">
        <v>2</v>
      </c>
      <c r="AJ31" s="119">
        <v>0</v>
      </c>
      <c r="AK31" s="120" t="b">
        <v>0</v>
      </c>
      <c r="AL31" s="120" t="b">
        <v>0</v>
      </c>
      <c r="AM31" s="120" t="b">
        <v>0</v>
      </c>
      <c r="AN31" s="157" t="s">
        <v>712</v>
      </c>
      <c r="AO31" s="148"/>
      <c r="AP31" s="136"/>
      <c r="AQ31" s="136"/>
      <c r="AR31" s="136"/>
      <c r="AS31" s="137"/>
      <c r="AT31" s="120" t="b">
        <v>0</v>
      </c>
      <c r="AU31" s="143">
        <f>IF(MasajidDB[[#This Row],[خطيب مسجد؟]],1,0)</f>
        <v>0</v>
      </c>
      <c r="AV31" s="142"/>
      <c r="AW31" s="142"/>
      <c r="AX31" s="142"/>
      <c r="AY31" s="142">
        <f>IFERROR(IF(VALUE(LEFT(MasajidDB[[#This Row],[Column313]],1))=1,1,0),0)</f>
        <v>0</v>
      </c>
      <c r="AZ31" s="142"/>
      <c r="BA31" s="144" t="b">
        <v>1</v>
      </c>
      <c r="BB31" s="143">
        <f>IF(MasajidDB[[#This Row],[إمام مسجد؟]],1,0)</f>
        <v>1</v>
      </c>
      <c r="BC31" s="142" t="s">
        <v>733</v>
      </c>
      <c r="BD31" s="142">
        <v>566667810</v>
      </c>
      <c r="BE31" s="142">
        <v>1026021541</v>
      </c>
      <c r="BF31" s="142">
        <f>IFERROR(IF(VALUE(LEFT(MasajidDB[[#This Row],[Column316]],1))=1,1,0),0)</f>
        <v>1</v>
      </c>
      <c r="BG31" s="131" t="b">
        <v>0</v>
      </c>
      <c r="BH31" s="135" t="s">
        <v>682</v>
      </c>
      <c r="BI31" s="144" t="b">
        <v>1</v>
      </c>
      <c r="BJ31" s="142">
        <f>IF(MasajidDB[[#This Row],[مؤذن مسجد؟]],1,0)</f>
        <v>1</v>
      </c>
      <c r="BK31" s="142" t="s">
        <v>733</v>
      </c>
      <c r="BL31" s="142">
        <v>566667810</v>
      </c>
      <c r="BM31" s="142">
        <v>1026021541</v>
      </c>
      <c r="BN31" s="142">
        <f>IFERROR(IF(VALUE(LEFT(MasajidDB[[#This Row],[Column319]],1))=1,1,0),0)</f>
        <v>1</v>
      </c>
      <c r="BO31" s="131" t="b">
        <v>0</v>
      </c>
      <c r="BP31" s="135" t="s">
        <v>682</v>
      </c>
      <c r="BQ31" s="131" t="b">
        <v>0</v>
      </c>
      <c r="BR31" s="142">
        <f>IF(MasajidDB[[#This Row],[مشرف على منشأة تعليمية؟]],1,0)</f>
        <v>0</v>
      </c>
      <c r="BS31" s="135"/>
      <c r="BT31" s="135"/>
      <c r="BU31" s="142"/>
      <c r="BV31" s="142">
        <f>IFERROR(IF(VALUE(LEFT(MasajidDB[[#This Row],[Column322]],1))=1,1,0),0)</f>
        <v>0</v>
      </c>
      <c r="BW31" s="142"/>
      <c r="BX31" s="131" t="b">
        <v>0</v>
      </c>
      <c r="BY31" s="131" t="b">
        <v>1</v>
      </c>
      <c r="BZ31" s="131" t="b">
        <v>0</v>
      </c>
      <c r="CA31" s="131" t="b">
        <v>0</v>
      </c>
      <c r="CB31" s="131" t="b">
        <v>0</v>
      </c>
      <c r="CC31" s="131" t="b">
        <v>0</v>
      </c>
      <c r="CD31" s="131" t="b">
        <v>0</v>
      </c>
      <c r="CE31" s="131" t="b">
        <v>0</v>
      </c>
      <c r="CF31" s="131" t="b">
        <v>0</v>
      </c>
      <c r="CG31" s="131" t="b">
        <v>0</v>
      </c>
    </row>
    <row r="32" spans="1:94" ht="30" customHeight="1" x14ac:dyDescent="0.2">
      <c r="A32" s="109">
        <f>ROW()-ROW(MasajidDB[[#Headers],[م]])</f>
        <v>26</v>
      </c>
      <c r="B32" s="110" t="s">
        <v>227</v>
      </c>
      <c r="C32" s="111" t="s">
        <v>70</v>
      </c>
      <c r="D32" s="153" t="s">
        <v>77</v>
      </c>
      <c r="E32" s="153" t="s">
        <v>133</v>
      </c>
      <c r="F32" s="112" t="s">
        <v>179</v>
      </c>
      <c r="G32" s="112" t="s">
        <v>180</v>
      </c>
      <c r="H32" s="132" t="s">
        <v>650</v>
      </c>
      <c r="I32" s="133">
        <v>26.400899767897599</v>
      </c>
      <c r="J32" s="133">
        <v>50.051424247881599</v>
      </c>
      <c r="K32" s="156" t="s">
        <v>699</v>
      </c>
      <c r="L32" s="119">
        <v>192</v>
      </c>
      <c r="M32" s="119">
        <v>192</v>
      </c>
      <c r="N32" s="119">
        <v>7</v>
      </c>
      <c r="O32" s="119">
        <v>224</v>
      </c>
      <c r="P32" s="119">
        <v>0</v>
      </c>
      <c r="Q32" s="119">
        <v>0</v>
      </c>
      <c r="R32" s="119">
        <v>0</v>
      </c>
      <c r="S32" s="119">
        <f>IF(ISNUMBER(MasajidDB[[#This Row],[سعة المسجد من المصليين
(رجل)]]),MasajidDB[[#This Row],[سعة المسجد من المصليين
(رجل)]],0)
+IF(ISNUMBER(MasajidDB[[#This Row],[سعة المسجد من المصليات
(امرأة)]]),MasajidDB[[#This Row],[سعة المسجد من المصليات
(امرأة)]],0)</f>
        <v>224</v>
      </c>
      <c r="T32" s="119">
        <v>4</v>
      </c>
      <c r="U32" s="119">
        <v>1</v>
      </c>
      <c r="V32" s="119">
        <v>8</v>
      </c>
      <c r="W32" s="119">
        <v>0</v>
      </c>
      <c r="X32" s="119">
        <v>0</v>
      </c>
      <c r="Y32" s="119">
        <v>0</v>
      </c>
      <c r="Z32" s="119">
        <v>0</v>
      </c>
      <c r="AA32" s="119">
        <v>30</v>
      </c>
      <c r="AB32" s="119">
        <v>7</v>
      </c>
      <c r="AC32" s="119">
        <v>3</v>
      </c>
      <c r="AD32" s="119">
        <v>0</v>
      </c>
      <c r="AE32" s="119">
        <v>0</v>
      </c>
      <c r="AF32" s="119">
        <v>0</v>
      </c>
      <c r="AG32" s="119">
        <v>0</v>
      </c>
      <c r="AH32" s="119">
        <v>0</v>
      </c>
      <c r="AI32" s="119">
        <v>1</v>
      </c>
      <c r="AJ32" s="119">
        <v>0</v>
      </c>
      <c r="AK32" s="120" t="b">
        <v>0</v>
      </c>
      <c r="AL32" s="120" t="b">
        <v>0</v>
      </c>
      <c r="AM32" s="120" t="b">
        <v>0</v>
      </c>
      <c r="AN32" s="157" t="s">
        <v>712</v>
      </c>
      <c r="AO32" s="148"/>
      <c r="AP32" s="135"/>
      <c r="AQ32" s="135"/>
      <c r="AR32" s="135"/>
      <c r="AS32" s="137"/>
      <c r="AT32" s="120" t="b">
        <v>0</v>
      </c>
      <c r="AU32" s="143">
        <f>IF(MasajidDB[[#This Row],[خطيب مسجد؟]],1,0)</f>
        <v>0</v>
      </c>
      <c r="AV32" s="142"/>
      <c r="AW32" s="142"/>
      <c r="AX32" s="142"/>
      <c r="AY32" s="142">
        <f>IFERROR(IF(VALUE(LEFT(MasajidDB[[#This Row],[Column313]],1))=1,1,0),0)</f>
        <v>0</v>
      </c>
      <c r="AZ32" s="142"/>
      <c r="BA32" s="144" t="b">
        <v>1</v>
      </c>
      <c r="BB32" s="143">
        <f>IF(MasajidDB[[#This Row],[إمام مسجد؟]],1,0)</f>
        <v>1</v>
      </c>
      <c r="BC32" s="142" t="s">
        <v>734</v>
      </c>
      <c r="BD32" s="142">
        <v>553853268</v>
      </c>
      <c r="BE32" s="142">
        <v>2046975153</v>
      </c>
      <c r="BF32" s="142">
        <f>IFERROR(IF(VALUE(LEFT(MasajidDB[[#This Row],[Column316]],1))=1,1,0),0)</f>
        <v>0</v>
      </c>
      <c r="BG32" s="131" t="b">
        <v>0</v>
      </c>
      <c r="BH32" s="135" t="s">
        <v>682</v>
      </c>
      <c r="BI32" s="144" t="b">
        <v>1</v>
      </c>
      <c r="BJ32" s="142">
        <f>IF(MasajidDB[[#This Row],[مؤذن مسجد؟]],1,0)</f>
        <v>1</v>
      </c>
      <c r="BK32" s="142" t="s">
        <v>734</v>
      </c>
      <c r="BL32" s="142">
        <v>553853268</v>
      </c>
      <c r="BM32" s="142">
        <v>2046975153</v>
      </c>
      <c r="BN32" s="142">
        <f>IFERROR(IF(VALUE(LEFT(MasajidDB[[#This Row],[Column319]],1))=1,1,0),0)</f>
        <v>0</v>
      </c>
      <c r="BO32" s="131" t="b">
        <v>0</v>
      </c>
      <c r="BP32" s="135" t="s">
        <v>682</v>
      </c>
      <c r="BQ32" s="131" t="b">
        <v>0</v>
      </c>
      <c r="BR32" s="142">
        <f>IF(MasajidDB[[#This Row],[مشرف على منشأة تعليمية؟]],1,0)</f>
        <v>0</v>
      </c>
      <c r="BS32" s="135"/>
      <c r="BT32" s="135"/>
      <c r="BU32" s="142"/>
      <c r="BV32" s="142">
        <f>IFERROR(IF(VALUE(LEFT(MasajidDB[[#This Row],[Column322]],1))=1,1,0),0)</f>
        <v>0</v>
      </c>
      <c r="BW32" s="142"/>
      <c r="BX32" s="131" t="b">
        <v>0</v>
      </c>
      <c r="BY32" s="131" t="b">
        <v>1</v>
      </c>
      <c r="BZ32" s="131" t="b">
        <v>0</v>
      </c>
      <c r="CA32" s="131" t="b">
        <v>0</v>
      </c>
      <c r="CB32" s="131" t="b">
        <v>0</v>
      </c>
      <c r="CC32" s="131" t="b">
        <v>0</v>
      </c>
      <c r="CD32" s="131" t="b">
        <v>0</v>
      </c>
      <c r="CE32" s="131" t="b">
        <v>0</v>
      </c>
      <c r="CF32" s="131" t="b">
        <v>0</v>
      </c>
      <c r="CG32" s="131" t="b">
        <v>0</v>
      </c>
    </row>
    <row r="33" spans="1:94" ht="30" customHeight="1" x14ac:dyDescent="0.2">
      <c r="A33" s="109">
        <f>ROW()-ROW(MasajidDB[[#Headers],[م]])</f>
        <v>27</v>
      </c>
      <c r="B33" s="110" t="s">
        <v>227</v>
      </c>
      <c r="C33" s="111" t="s">
        <v>92</v>
      </c>
      <c r="D33" s="111" t="s">
        <v>93</v>
      </c>
      <c r="E33" s="153" t="s">
        <v>133</v>
      </c>
      <c r="F33" s="112" t="s">
        <v>182</v>
      </c>
      <c r="G33" s="112" t="s">
        <v>183</v>
      </c>
      <c r="H33" s="158"/>
      <c r="I33" s="133">
        <v>26.318438</v>
      </c>
      <c r="J33" s="133">
        <v>50.215865000000001</v>
      </c>
      <c r="K33" s="156" t="s">
        <v>699</v>
      </c>
      <c r="L33" s="119">
        <v>180</v>
      </c>
      <c r="M33" s="119">
        <v>180</v>
      </c>
      <c r="N33" s="119">
        <v>8</v>
      </c>
      <c r="O33" s="119">
        <v>192</v>
      </c>
      <c r="P33" s="119">
        <v>0</v>
      </c>
      <c r="Q33" s="119">
        <v>0</v>
      </c>
      <c r="R33" s="119">
        <v>0</v>
      </c>
      <c r="S33" s="119">
        <f>IF(ISNUMBER(MasajidDB[[#This Row],[سعة المسجد من المصليين
(رجل)]]),MasajidDB[[#This Row],[سعة المسجد من المصليين
(رجل)]],0)
+IF(ISNUMBER(MasajidDB[[#This Row],[سعة المسجد من المصليات
(امرأة)]]),MasajidDB[[#This Row],[سعة المسجد من المصليات
(امرأة)]],0)</f>
        <v>192</v>
      </c>
      <c r="T33" s="119">
        <v>0</v>
      </c>
      <c r="U33" s="119">
        <v>0</v>
      </c>
      <c r="V33" s="119">
        <v>4</v>
      </c>
      <c r="W33" s="119">
        <v>0</v>
      </c>
      <c r="X33" s="119">
        <v>0</v>
      </c>
      <c r="Y33" s="119">
        <v>0</v>
      </c>
      <c r="Z33" s="119">
        <v>0</v>
      </c>
      <c r="AA33" s="119">
        <v>45</v>
      </c>
      <c r="AB33" s="119">
        <v>3</v>
      </c>
      <c r="AC33" s="119">
        <v>9</v>
      </c>
      <c r="AD33" s="119">
        <v>13</v>
      </c>
      <c r="AE33" s="119">
        <v>0</v>
      </c>
      <c r="AF33" s="119">
        <v>0</v>
      </c>
      <c r="AG33" s="119">
        <v>0</v>
      </c>
      <c r="AH33" s="119">
        <v>0</v>
      </c>
      <c r="AI33" s="119">
        <v>1</v>
      </c>
      <c r="AJ33" s="119">
        <v>0</v>
      </c>
      <c r="AK33" s="120" t="b">
        <v>0</v>
      </c>
      <c r="AL33" s="120" t="b">
        <v>0</v>
      </c>
      <c r="AM33" s="120" t="b">
        <v>0</v>
      </c>
      <c r="AN33" s="157" t="s">
        <v>712</v>
      </c>
      <c r="AO33" s="148"/>
      <c r="AP33" s="135"/>
      <c r="AQ33" s="135"/>
      <c r="AR33" s="135"/>
      <c r="AS33" s="137"/>
      <c r="AT33" s="120" t="b">
        <v>0</v>
      </c>
      <c r="AU33" s="143">
        <f>IF(MasajidDB[[#This Row],[خطيب مسجد؟]],1,0)</f>
        <v>0</v>
      </c>
      <c r="AV33" s="142"/>
      <c r="AW33" s="142"/>
      <c r="AX33" s="142"/>
      <c r="AY33" s="142">
        <f>IFERROR(IF(VALUE(LEFT(MasajidDB[[#This Row],[Column313]],1))=1,1,0),0)</f>
        <v>0</v>
      </c>
      <c r="AZ33" s="142"/>
      <c r="BA33" s="144" t="b">
        <v>0</v>
      </c>
      <c r="BB33" s="143">
        <f>IF(MasajidDB[[#This Row],[إمام مسجد؟]],1,0)</f>
        <v>0</v>
      </c>
      <c r="BC33" s="142"/>
      <c r="BD33" s="142"/>
      <c r="BE33" s="142"/>
      <c r="BF33" s="142">
        <f>IFERROR(IF(VALUE(LEFT(MasajidDB[[#This Row],[Column316]],1))=1,1,0),0)</f>
        <v>0</v>
      </c>
      <c r="BG33" s="131" t="b">
        <v>0</v>
      </c>
      <c r="BH33" s="142"/>
      <c r="BI33" s="144" t="b">
        <v>0</v>
      </c>
      <c r="BJ33" s="142">
        <f>IF(MasajidDB[[#This Row],[مؤذن مسجد؟]],1,0)</f>
        <v>0</v>
      </c>
      <c r="BK33" s="142"/>
      <c r="BL33" s="142"/>
      <c r="BM33" s="142"/>
      <c r="BN33" s="142">
        <f>IFERROR(IF(VALUE(LEFT(MasajidDB[[#This Row],[Column319]],1))=1,1,0),0)</f>
        <v>0</v>
      </c>
      <c r="BO33" s="131" t="b">
        <v>0</v>
      </c>
      <c r="BP33" s="135"/>
      <c r="BQ33" s="131" t="b">
        <v>0</v>
      </c>
      <c r="BR33" s="142">
        <f>IF(MasajidDB[[#This Row],[مشرف على منشأة تعليمية؟]],1,0)</f>
        <v>0</v>
      </c>
      <c r="BS33" s="135"/>
      <c r="BT33" s="135"/>
      <c r="BU33" s="142"/>
      <c r="BV33" s="142">
        <f>IFERROR(IF(VALUE(LEFT(MasajidDB[[#This Row],[Column322]],1))=1,1,0),0)</f>
        <v>0</v>
      </c>
      <c r="BW33" s="142"/>
      <c r="BX33" s="131" t="b">
        <v>0</v>
      </c>
      <c r="BY33" s="131" t="b">
        <v>1</v>
      </c>
      <c r="BZ33" s="131" t="b">
        <v>0</v>
      </c>
      <c r="CA33" s="131" t="b">
        <v>0</v>
      </c>
      <c r="CB33" s="131" t="b">
        <v>0</v>
      </c>
      <c r="CC33" s="131" t="b">
        <v>0</v>
      </c>
      <c r="CD33" s="131" t="b">
        <v>0</v>
      </c>
      <c r="CE33" s="131" t="b">
        <v>0</v>
      </c>
      <c r="CF33" s="131" t="b">
        <v>0</v>
      </c>
      <c r="CG33" s="131" t="b">
        <v>0</v>
      </c>
    </row>
    <row r="34" spans="1:94" ht="30" customHeight="1" x14ac:dyDescent="0.2">
      <c r="A34" s="109">
        <f>ROW()-ROW(MasajidDB[[#Headers],[م]])</f>
        <v>28</v>
      </c>
      <c r="B34" s="110" t="s">
        <v>227</v>
      </c>
      <c r="C34" s="111" t="s">
        <v>117</v>
      </c>
      <c r="D34" s="110" t="s">
        <v>185</v>
      </c>
      <c r="E34" s="153" t="s">
        <v>133</v>
      </c>
      <c r="F34" s="112" t="s">
        <v>186</v>
      </c>
      <c r="G34" s="112" t="s">
        <v>187</v>
      </c>
      <c r="H34" s="132" t="s">
        <v>650</v>
      </c>
      <c r="I34" s="133">
        <v>26.981070188132598</v>
      </c>
      <c r="J34" s="133">
        <v>49.648083615343502</v>
      </c>
      <c r="K34" s="156" t="s">
        <v>699</v>
      </c>
      <c r="L34" s="119">
        <v>240</v>
      </c>
      <c r="M34" s="119">
        <v>130</v>
      </c>
      <c r="N34" s="119">
        <v>10</v>
      </c>
      <c r="O34" s="119">
        <v>210</v>
      </c>
      <c r="P34" s="119">
        <v>86</v>
      </c>
      <c r="Q34" s="119">
        <v>6</v>
      </c>
      <c r="R34" s="119">
        <v>93</v>
      </c>
      <c r="S34" s="119">
        <f>IF(ISNUMBER(MasajidDB[[#This Row],[سعة المسجد من المصليين
(رجل)]]),MasajidDB[[#This Row],[سعة المسجد من المصليين
(رجل)]],0)
+IF(ISNUMBER(MasajidDB[[#This Row],[سعة المسجد من المصليات
(امرأة)]]),MasajidDB[[#This Row],[سعة المسجد من المصليات
(امرأة)]],0)</f>
        <v>303</v>
      </c>
      <c r="T34" s="119">
        <v>4</v>
      </c>
      <c r="U34" s="119">
        <v>2</v>
      </c>
      <c r="V34" s="119">
        <v>4</v>
      </c>
      <c r="W34" s="119">
        <v>4</v>
      </c>
      <c r="X34" s="119">
        <v>1</v>
      </c>
      <c r="Y34" s="119">
        <v>4</v>
      </c>
      <c r="Z34" s="119">
        <v>0</v>
      </c>
      <c r="AA34" s="119">
        <v>29</v>
      </c>
      <c r="AB34" s="119">
        <v>0</v>
      </c>
      <c r="AC34" s="119">
        <v>1</v>
      </c>
      <c r="AD34" s="119">
        <v>2</v>
      </c>
      <c r="AE34" s="119">
        <v>9</v>
      </c>
      <c r="AF34" s="119">
        <v>1</v>
      </c>
      <c r="AG34" s="119">
        <v>0</v>
      </c>
      <c r="AH34" s="119">
        <v>1</v>
      </c>
      <c r="AI34" s="119">
        <v>2</v>
      </c>
      <c r="AJ34" s="119">
        <v>1</v>
      </c>
      <c r="AK34" s="120" t="b">
        <v>0</v>
      </c>
      <c r="AL34" s="120" t="b">
        <v>0</v>
      </c>
      <c r="AM34" s="120" t="b">
        <v>0</v>
      </c>
      <c r="AN34" s="157" t="s">
        <v>712</v>
      </c>
      <c r="AO34" s="148"/>
      <c r="AP34" s="136"/>
      <c r="AQ34" s="136"/>
      <c r="AR34" s="136"/>
      <c r="AS34" s="137"/>
      <c r="AT34" s="120" t="b">
        <v>0</v>
      </c>
      <c r="AU34" s="143">
        <f>IF(MasajidDB[[#This Row],[خطيب مسجد؟]],1,0)</f>
        <v>0</v>
      </c>
      <c r="AV34" s="142"/>
      <c r="AW34" s="142"/>
      <c r="AX34" s="142"/>
      <c r="AY34" s="142">
        <f>IFERROR(IF(VALUE(LEFT(MasajidDB[[#This Row],[Column313]],1))=1,1,0),0)</f>
        <v>0</v>
      </c>
      <c r="AZ34" s="142"/>
      <c r="BA34" s="144" t="b">
        <v>1</v>
      </c>
      <c r="BB34" s="143">
        <f>IF(MasajidDB[[#This Row],[إمام مسجد؟]],1,0)</f>
        <v>1</v>
      </c>
      <c r="BC34" s="142" t="s">
        <v>735</v>
      </c>
      <c r="BD34" s="142" t="s">
        <v>736</v>
      </c>
      <c r="BE34" s="142">
        <v>2042608949</v>
      </c>
      <c r="BF34" s="142">
        <f>IFERROR(IF(VALUE(LEFT(MasajidDB[[#This Row],[Column316]],1))=1,1,0),0)</f>
        <v>0</v>
      </c>
      <c r="BG34" s="131" t="b">
        <v>0</v>
      </c>
      <c r="BH34" s="135" t="s">
        <v>682</v>
      </c>
      <c r="BI34" s="144" t="b">
        <v>1</v>
      </c>
      <c r="BJ34" s="142">
        <f>IF(MasajidDB[[#This Row],[مؤذن مسجد؟]],1,0)</f>
        <v>1</v>
      </c>
      <c r="BK34" s="142" t="s">
        <v>735</v>
      </c>
      <c r="BL34" s="142" t="s">
        <v>736</v>
      </c>
      <c r="BM34" s="142">
        <v>2042608949</v>
      </c>
      <c r="BN34" s="142">
        <f>IFERROR(IF(VALUE(LEFT(MasajidDB[[#This Row],[Column319]],1))=1,1,0),0)</f>
        <v>0</v>
      </c>
      <c r="BO34" s="131" t="b">
        <v>0</v>
      </c>
      <c r="BP34" s="135" t="s">
        <v>682</v>
      </c>
      <c r="BQ34" s="131" t="b">
        <v>0</v>
      </c>
      <c r="BR34" s="142">
        <f>IF(MasajidDB[[#This Row],[مشرف على منشأة تعليمية؟]],1,0)</f>
        <v>0</v>
      </c>
      <c r="BS34" s="135"/>
      <c r="BT34" s="135"/>
      <c r="BU34" s="142"/>
      <c r="BV34" s="142">
        <f>IFERROR(IF(VALUE(LEFT(MasajidDB[[#This Row],[Column322]],1))=1,1,0),0)</f>
        <v>0</v>
      </c>
      <c r="BW34" s="142"/>
      <c r="BX34" s="131" t="b">
        <v>0</v>
      </c>
      <c r="BY34" s="131" t="b">
        <v>1</v>
      </c>
      <c r="BZ34" s="131" t="b">
        <v>0</v>
      </c>
      <c r="CA34" s="131" t="b">
        <v>0</v>
      </c>
      <c r="CB34" s="131" t="b">
        <v>0</v>
      </c>
      <c r="CC34" s="131" t="b">
        <v>0</v>
      </c>
      <c r="CD34" s="131" t="b">
        <v>0</v>
      </c>
      <c r="CE34" s="131" t="b">
        <v>0</v>
      </c>
      <c r="CF34" s="131" t="b">
        <v>0</v>
      </c>
      <c r="CG34" s="131" t="b">
        <v>0</v>
      </c>
    </row>
    <row r="35" spans="1:94" ht="30" customHeight="1" x14ac:dyDescent="0.2">
      <c r="A35" s="109">
        <f>ROW()-ROW(MasajidDB[[#Headers],[م]])</f>
        <v>29</v>
      </c>
      <c r="B35" s="110" t="s">
        <v>227</v>
      </c>
      <c r="C35" s="111" t="s">
        <v>117</v>
      </c>
      <c r="D35" s="110" t="s">
        <v>185</v>
      </c>
      <c r="E35" s="153" t="s">
        <v>94</v>
      </c>
      <c r="F35" s="112" t="s">
        <v>189</v>
      </c>
      <c r="G35" s="112" t="s">
        <v>190</v>
      </c>
      <c r="H35" s="132" t="s">
        <v>650</v>
      </c>
      <c r="I35" s="133">
        <v>26.969456547428202</v>
      </c>
      <c r="J35" s="133">
        <v>49.626066917791</v>
      </c>
      <c r="K35" s="156" t="s">
        <v>699</v>
      </c>
      <c r="L35" s="119">
        <v>45</v>
      </c>
      <c r="M35" s="119">
        <v>28</v>
      </c>
      <c r="N35" s="119">
        <v>2</v>
      </c>
      <c r="O35" s="119">
        <v>42</v>
      </c>
      <c r="P35" s="119">
        <v>0</v>
      </c>
      <c r="Q35" s="119">
        <v>0</v>
      </c>
      <c r="R35" s="119">
        <v>0</v>
      </c>
      <c r="S35" s="119">
        <f>IF(ISNUMBER(MasajidDB[[#This Row],[سعة المسجد من المصليين
(رجل)]]),MasajidDB[[#This Row],[سعة المسجد من المصليين
(رجل)]],0)
+IF(ISNUMBER(MasajidDB[[#This Row],[سعة المسجد من المصليات
(امرأة)]]),MasajidDB[[#This Row],[سعة المسجد من المصليات
(امرأة)]],0)</f>
        <v>42</v>
      </c>
      <c r="T35" s="119">
        <v>3</v>
      </c>
      <c r="U35" s="119">
        <v>0</v>
      </c>
      <c r="V35" s="119">
        <v>4</v>
      </c>
      <c r="W35" s="119">
        <v>0</v>
      </c>
      <c r="X35" s="119">
        <v>0</v>
      </c>
      <c r="Y35" s="119">
        <v>0</v>
      </c>
      <c r="Z35" s="119">
        <v>0</v>
      </c>
      <c r="AA35" s="119">
        <v>13</v>
      </c>
      <c r="AB35" s="119">
        <v>2</v>
      </c>
      <c r="AC35" s="119">
        <v>1</v>
      </c>
      <c r="AD35" s="119">
        <v>0</v>
      </c>
      <c r="AE35" s="119">
        <v>0</v>
      </c>
      <c r="AF35" s="119">
        <v>0</v>
      </c>
      <c r="AG35" s="119">
        <v>0</v>
      </c>
      <c r="AH35" s="119">
        <v>0</v>
      </c>
      <c r="AI35" s="119">
        <v>2</v>
      </c>
      <c r="AJ35" s="119">
        <v>5</v>
      </c>
      <c r="AK35" s="120" t="b">
        <v>0</v>
      </c>
      <c r="AL35" s="120" t="b">
        <v>0</v>
      </c>
      <c r="AM35" s="120" t="b">
        <v>0</v>
      </c>
      <c r="AN35" s="157" t="s">
        <v>712</v>
      </c>
      <c r="AO35" s="148"/>
      <c r="AP35" s="136"/>
      <c r="AQ35" s="136"/>
      <c r="AR35" s="136"/>
      <c r="AS35" s="137"/>
      <c r="AT35" s="120" t="b">
        <v>0</v>
      </c>
      <c r="AU35" s="143">
        <f>IF(MasajidDB[[#This Row],[خطيب مسجد؟]],1,0)</f>
        <v>0</v>
      </c>
      <c r="AV35" s="142"/>
      <c r="AW35" s="142"/>
      <c r="AX35" s="142"/>
      <c r="AY35" s="142">
        <f>IFERROR(IF(VALUE(LEFT(MasajidDB[[#This Row],[Column313]],1))=1,1,0),0)</f>
        <v>0</v>
      </c>
      <c r="AZ35" s="142"/>
      <c r="BA35" s="144" t="b">
        <v>0</v>
      </c>
      <c r="BB35" s="143">
        <f>IF(MasajidDB[[#This Row],[إمام مسجد؟]],1,0)</f>
        <v>0</v>
      </c>
      <c r="BC35" s="142"/>
      <c r="BD35" s="142"/>
      <c r="BE35" s="142"/>
      <c r="BF35" s="142">
        <f>IFERROR(IF(VALUE(LEFT(MasajidDB[[#This Row],[Column316]],1))=1,1,0),0)</f>
        <v>0</v>
      </c>
      <c r="BG35" s="131" t="b">
        <v>0</v>
      </c>
      <c r="BH35" s="142"/>
      <c r="BI35" s="144" t="b">
        <v>0</v>
      </c>
      <c r="BJ35" s="142">
        <f>IF(MasajidDB[[#This Row],[مؤذن مسجد؟]],1,0)</f>
        <v>0</v>
      </c>
      <c r="BK35" s="142"/>
      <c r="BL35" s="142"/>
      <c r="BM35" s="142"/>
      <c r="BN35" s="142">
        <f>IFERROR(IF(VALUE(LEFT(MasajidDB[[#This Row],[Column319]],1))=1,1,0),0)</f>
        <v>0</v>
      </c>
      <c r="BO35" s="131" t="b">
        <v>0</v>
      </c>
      <c r="BP35" s="135"/>
      <c r="BQ35" s="131" t="b">
        <v>0</v>
      </c>
      <c r="BR35" s="142">
        <f>IF(MasajidDB[[#This Row],[مشرف على منشأة تعليمية؟]],1,0)</f>
        <v>0</v>
      </c>
      <c r="BS35" s="135"/>
      <c r="BT35" s="135"/>
      <c r="BU35" s="142"/>
      <c r="BV35" s="142">
        <f>IFERROR(IF(VALUE(LEFT(MasajidDB[[#This Row],[Column322]],1))=1,1,0),0)</f>
        <v>0</v>
      </c>
      <c r="BW35" s="142"/>
      <c r="BX35" s="131" t="b">
        <v>0</v>
      </c>
      <c r="BY35" s="131" t="b">
        <v>1</v>
      </c>
      <c r="BZ35" s="131" t="b">
        <v>0</v>
      </c>
      <c r="CA35" s="131" t="b">
        <v>0</v>
      </c>
      <c r="CB35" s="131" t="b">
        <v>0</v>
      </c>
      <c r="CC35" s="131" t="b">
        <v>0</v>
      </c>
      <c r="CD35" s="131" t="b">
        <v>0</v>
      </c>
      <c r="CE35" s="131" t="b">
        <v>0</v>
      </c>
      <c r="CF35" s="131" t="b">
        <v>0</v>
      </c>
      <c r="CG35" s="131" t="b">
        <v>0</v>
      </c>
    </row>
    <row r="36" spans="1:94" ht="30" customHeight="1" x14ac:dyDescent="0.2">
      <c r="A36" s="109">
        <f>ROW()-ROW(MasajidDB[[#Headers],[م]])</f>
        <v>30</v>
      </c>
      <c r="B36" s="110" t="s">
        <v>227</v>
      </c>
      <c r="C36" s="153" t="s">
        <v>192</v>
      </c>
      <c r="D36" s="153" t="s">
        <v>737</v>
      </c>
      <c r="E36" s="111" t="s">
        <v>94</v>
      </c>
      <c r="F36" s="112" t="s">
        <v>194</v>
      </c>
      <c r="G36" s="112" t="s">
        <v>195</v>
      </c>
      <c r="H36" s="132" t="s">
        <v>650</v>
      </c>
      <c r="I36" s="133">
        <v>26.482285432420799</v>
      </c>
      <c r="J36" s="133">
        <v>49.961539497079997</v>
      </c>
      <c r="K36" s="156" t="s">
        <v>699</v>
      </c>
      <c r="L36" s="134">
        <v>450</v>
      </c>
      <c r="M36" s="118">
        <v>148</v>
      </c>
      <c r="N36" s="119">
        <v>9</v>
      </c>
      <c r="O36" s="119">
        <v>224</v>
      </c>
      <c r="P36" s="119">
        <v>48</v>
      </c>
      <c r="Q36" s="119">
        <v>2</v>
      </c>
      <c r="R36" s="119">
        <v>48</v>
      </c>
      <c r="S36" s="119">
        <f>IF(ISNUMBER(MasajidDB[[#This Row],[سعة المسجد من المصليين
(رجل)]]),MasajidDB[[#This Row],[سعة المسجد من المصليين
(رجل)]],0)
+IF(ISNUMBER(MasajidDB[[#This Row],[سعة المسجد من المصليات
(امرأة)]]),MasajidDB[[#This Row],[سعة المسجد من المصليات
(امرأة)]],0)</f>
        <v>272</v>
      </c>
      <c r="T36" s="119">
        <v>2</v>
      </c>
      <c r="U36" s="119">
        <v>1</v>
      </c>
      <c r="V36" s="119">
        <v>7</v>
      </c>
      <c r="W36" s="119">
        <v>0</v>
      </c>
      <c r="X36" s="119">
        <v>0</v>
      </c>
      <c r="Y36" s="119">
        <v>0</v>
      </c>
      <c r="Z36" s="119">
        <v>0</v>
      </c>
      <c r="AA36" s="119">
        <v>43</v>
      </c>
      <c r="AB36" s="119">
        <v>12</v>
      </c>
      <c r="AC36" s="119">
        <v>7</v>
      </c>
      <c r="AD36" s="119">
        <v>6</v>
      </c>
      <c r="AE36" s="119">
        <v>0</v>
      </c>
      <c r="AF36" s="119">
        <v>0</v>
      </c>
      <c r="AG36" s="119">
        <v>0</v>
      </c>
      <c r="AH36" s="119">
        <v>0</v>
      </c>
      <c r="AI36" s="119">
        <v>2</v>
      </c>
      <c r="AJ36" s="119">
        <v>6</v>
      </c>
      <c r="AK36" s="120" t="b">
        <v>0</v>
      </c>
      <c r="AL36" s="120" t="b">
        <v>0</v>
      </c>
      <c r="AM36" s="120" t="b">
        <v>0</v>
      </c>
      <c r="AN36" s="157" t="s">
        <v>712</v>
      </c>
      <c r="AO36" s="148"/>
      <c r="AP36" s="136" t="s">
        <v>738</v>
      </c>
      <c r="AQ36" s="136"/>
      <c r="AR36" s="136"/>
      <c r="AS36" s="137"/>
      <c r="AT36" s="120" t="b">
        <v>0</v>
      </c>
      <c r="AU36" s="143">
        <f>IF(MasajidDB[[#This Row],[خطيب مسجد؟]],1,0)</f>
        <v>0</v>
      </c>
      <c r="AV36" s="142"/>
      <c r="AW36" s="142"/>
      <c r="AX36" s="142"/>
      <c r="AY36" s="142">
        <f>IFERROR(IF(VALUE(LEFT(MasajidDB[[#This Row],[Column313]],1))=1,1,0),0)</f>
        <v>0</v>
      </c>
      <c r="AZ36" s="142"/>
      <c r="BA36" s="144" t="b">
        <v>1</v>
      </c>
      <c r="BB36" s="143">
        <f>IF(MasajidDB[[#This Row],[إمام مسجد؟]],1,0)</f>
        <v>1</v>
      </c>
      <c r="BC36" s="142" t="s">
        <v>739</v>
      </c>
      <c r="BD36" s="142">
        <v>560576256</v>
      </c>
      <c r="BE36" s="142">
        <v>2503504454</v>
      </c>
      <c r="BF36" s="142">
        <f>IFERROR(IF(VALUE(LEFT(MasajidDB[[#This Row],[Column316]],1))=1,1,0),0)</f>
        <v>0</v>
      </c>
      <c r="BG36" s="131" t="b">
        <v>1</v>
      </c>
      <c r="BH36" s="142" t="s">
        <v>675</v>
      </c>
      <c r="BI36" s="144" t="b">
        <v>1</v>
      </c>
      <c r="BJ36" s="142">
        <f>IF(MasajidDB[[#This Row],[مؤذن مسجد؟]],1,0)</f>
        <v>1</v>
      </c>
      <c r="BK36" s="142" t="s">
        <v>739</v>
      </c>
      <c r="BL36" s="142">
        <v>560576256</v>
      </c>
      <c r="BM36" s="142">
        <v>2503504454</v>
      </c>
      <c r="BN36" s="142">
        <f>IFERROR(IF(VALUE(LEFT(MasajidDB[[#This Row],[Column319]],1))=1,1,0),0)</f>
        <v>0</v>
      </c>
      <c r="BO36" s="131" t="b">
        <v>1</v>
      </c>
      <c r="BP36" s="135" t="s">
        <v>675</v>
      </c>
      <c r="BQ36" s="131" t="b">
        <v>0</v>
      </c>
      <c r="BR36" s="142">
        <f>IF(MasajidDB[[#This Row],[مشرف على منشأة تعليمية؟]],1,0)</f>
        <v>0</v>
      </c>
      <c r="BS36" s="135"/>
      <c r="BT36" s="135"/>
      <c r="BU36" s="142"/>
      <c r="BV36" s="142">
        <f>IFERROR(IF(VALUE(LEFT(MasajidDB[[#This Row],[Column322]],1))=1,1,0),0)</f>
        <v>0</v>
      </c>
      <c r="BW36" s="142"/>
      <c r="BX36" s="131" t="b">
        <v>1</v>
      </c>
      <c r="BY36" s="131" t="b">
        <v>1</v>
      </c>
      <c r="BZ36" s="131" t="b">
        <v>0</v>
      </c>
      <c r="CA36" s="131" t="b">
        <v>0</v>
      </c>
      <c r="CB36" s="131" t="b">
        <v>0</v>
      </c>
      <c r="CC36" s="131" t="b">
        <v>0</v>
      </c>
      <c r="CD36" s="131" t="b">
        <v>0</v>
      </c>
      <c r="CE36" s="131" t="b">
        <v>0</v>
      </c>
      <c r="CF36" s="131" t="b">
        <v>0</v>
      </c>
      <c r="CG36" s="131" t="b">
        <v>0</v>
      </c>
    </row>
    <row r="37" spans="1:94" ht="30" customHeight="1" x14ac:dyDescent="0.2">
      <c r="A37" s="109">
        <f>ROW()-ROW(MasajidDB[[#Headers],[م]])</f>
        <v>31</v>
      </c>
      <c r="B37" s="111" t="s">
        <v>226</v>
      </c>
      <c r="C37" s="111" t="s">
        <v>122</v>
      </c>
      <c r="D37" s="153" t="s">
        <v>197</v>
      </c>
      <c r="E37" s="153" t="s">
        <v>133</v>
      </c>
      <c r="F37" s="112" t="s">
        <v>198</v>
      </c>
      <c r="G37" s="112" t="s">
        <v>199</v>
      </c>
      <c r="H37" s="132" t="s">
        <v>650</v>
      </c>
      <c r="I37" s="133">
        <v>21.507890624428299</v>
      </c>
      <c r="J37" s="133">
        <v>39.179643868244099</v>
      </c>
      <c r="K37" s="156" t="s">
        <v>699</v>
      </c>
      <c r="L37" s="134">
        <v>42</v>
      </c>
      <c r="M37" s="134">
        <v>42</v>
      </c>
      <c r="N37" s="119">
        <v>4</v>
      </c>
      <c r="O37" s="119">
        <v>80</v>
      </c>
      <c r="P37" s="119">
        <v>0</v>
      </c>
      <c r="Q37" s="119">
        <v>0</v>
      </c>
      <c r="R37" s="119">
        <v>0</v>
      </c>
      <c r="S37" s="119">
        <f>IF(ISNUMBER(MasajidDB[[#This Row],[سعة المسجد من المصليين
(رجل)]]),MasajidDB[[#This Row],[سعة المسجد من المصليين
(رجل)]],0)
+IF(ISNUMBER(MasajidDB[[#This Row],[سعة المسجد من المصليات
(امرأة)]]),MasajidDB[[#This Row],[سعة المسجد من المصليات
(امرأة)]],0)</f>
        <v>80</v>
      </c>
      <c r="T37" s="119">
        <v>0</v>
      </c>
      <c r="U37" s="119">
        <v>0</v>
      </c>
      <c r="V37" s="119">
        <v>0</v>
      </c>
      <c r="W37" s="119">
        <v>0</v>
      </c>
      <c r="X37" s="119">
        <v>0</v>
      </c>
      <c r="Y37" s="119">
        <v>0</v>
      </c>
      <c r="Z37" s="119">
        <v>0</v>
      </c>
      <c r="AA37" s="119">
        <v>7</v>
      </c>
      <c r="AB37" s="119">
        <v>5</v>
      </c>
      <c r="AC37" s="119">
        <v>0</v>
      </c>
      <c r="AD37" s="119">
        <v>2</v>
      </c>
      <c r="AE37" s="119">
        <v>0</v>
      </c>
      <c r="AF37" s="119">
        <v>0</v>
      </c>
      <c r="AG37" s="119">
        <v>0</v>
      </c>
      <c r="AH37" s="119">
        <v>0</v>
      </c>
      <c r="AI37" s="119">
        <v>1</v>
      </c>
      <c r="AJ37" s="119">
        <v>1</v>
      </c>
      <c r="AK37" s="120" t="b">
        <v>0</v>
      </c>
      <c r="AL37" s="120" t="b">
        <v>0</v>
      </c>
      <c r="AM37" s="120" t="b">
        <v>0</v>
      </c>
      <c r="AN37" s="157" t="s">
        <v>712</v>
      </c>
      <c r="AO37" s="148"/>
      <c r="AP37" s="135"/>
      <c r="AQ37" s="135"/>
      <c r="AR37" s="135"/>
      <c r="AS37" s="137"/>
      <c r="AT37" s="120" t="b">
        <v>0</v>
      </c>
      <c r="AU37" s="143">
        <f>IF(MasajidDB[[#This Row],[خطيب مسجد؟]],1,0)</f>
        <v>0</v>
      </c>
      <c r="AV37" s="142"/>
      <c r="AW37" s="142"/>
      <c r="AX37" s="142"/>
      <c r="AY37" s="142">
        <f>IFERROR(IF(VALUE(LEFT(MasajidDB[[#This Row],[Column313]],1))=1,1,0),0)</f>
        <v>0</v>
      </c>
      <c r="AZ37" s="142"/>
      <c r="BA37" s="144" t="b">
        <v>1</v>
      </c>
      <c r="BB37" s="143">
        <f>IF(MasajidDB[[#This Row],[إمام مسجد؟]],1,0)</f>
        <v>1</v>
      </c>
      <c r="BC37" s="142" t="s">
        <v>740</v>
      </c>
      <c r="BD37" s="142" t="s">
        <v>741</v>
      </c>
      <c r="BE37" s="142">
        <v>1066558584</v>
      </c>
      <c r="BF37" s="142">
        <f>IFERROR(IF(VALUE(LEFT(MasajidDB[[#This Row],[Column316]],1))=1,1,0),0)</f>
        <v>1</v>
      </c>
      <c r="BG37" s="131" t="b">
        <v>0</v>
      </c>
      <c r="BH37" s="142" t="s">
        <v>688</v>
      </c>
      <c r="BI37" s="144" t="b">
        <v>0</v>
      </c>
      <c r="BJ37" s="142">
        <f>IF(MasajidDB[[#This Row],[مؤذن مسجد؟]],1,0)</f>
        <v>0</v>
      </c>
      <c r="BK37" s="142" t="s">
        <v>740</v>
      </c>
      <c r="BL37" s="142" t="s">
        <v>741</v>
      </c>
      <c r="BM37" s="142">
        <v>1066558584</v>
      </c>
      <c r="BN37" s="142">
        <f>IFERROR(IF(VALUE(LEFT(MasajidDB[[#This Row],[Column319]],1))=1,1,0),0)</f>
        <v>1</v>
      </c>
      <c r="BO37" s="131" t="b">
        <v>0</v>
      </c>
      <c r="BP37" s="142" t="s">
        <v>688</v>
      </c>
      <c r="BQ37" s="131" t="b">
        <v>0</v>
      </c>
      <c r="BR37" s="142">
        <f>IF(MasajidDB[[#This Row],[مشرف على منشأة تعليمية؟]],1,0)</f>
        <v>0</v>
      </c>
      <c r="BS37" s="135"/>
      <c r="BT37" s="135"/>
      <c r="BU37" s="142"/>
      <c r="BV37" s="142">
        <f>IFERROR(IF(VALUE(LEFT(MasajidDB[[#This Row],[Column322]],1))=1,1,0),0)</f>
        <v>0</v>
      </c>
      <c r="BW37" s="142"/>
      <c r="BX37" s="131" t="b">
        <v>0</v>
      </c>
      <c r="BY37" s="131" t="b">
        <v>1</v>
      </c>
      <c r="BZ37" s="131" t="b">
        <v>0</v>
      </c>
      <c r="CA37" s="131" t="b">
        <v>0</v>
      </c>
      <c r="CB37" s="131" t="b">
        <v>0</v>
      </c>
      <c r="CC37" s="131" t="b">
        <v>0</v>
      </c>
      <c r="CD37" s="131" t="b">
        <v>0</v>
      </c>
      <c r="CE37" s="131" t="b">
        <v>0</v>
      </c>
      <c r="CF37" s="131" t="b">
        <v>0</v>
      </c>
      <c r="CG37" s="131" t="b">
        <v>0</v>
      </c>
    </row>
    <row r="38" spans="1:94" ht="30" customHeight="1" x14ac:dyDescent="0.2">
      <c r="A38" s="109">
        <f>ROW()-ROW(MasajidDB[[#Headers],[م]])</f>
        <v>32</v>
      </c>
      <c r="B38" s="111" t="s">
        <v>237</v>
      </c>
      <c r="C38" s="111" t="s">
        <v>105</v>
      </c>
      <c r="D38" s="159" t="s">
        <v>201</v>
      </c>
      <c r="E38" s="111" t="s">
        <v>72</v>
      </c>
      <c r="F38" s="112" t="s">
        <v>742</v>
      </c>
      <c r="G38" s="112" t="s">
        <v>203</v>
      </c>
      <c r="H38" s="132" t="s">
        <v>650</v>
      </c>
      <c r="I38" s="133">
        <v>19.847998519595802</v>
      </c>
      <c r="J38" s="133">
        <v>41.5934605637595</v>
      </c>
      <c r="K38" s="115" t="s">
        <v>651</v>
      </c>
      <c r="L38" s="134">
        <v>300</v>
      </c>
      <c r="M38" s="134">
        <v>360</v>
      </c>
      <c r="N38" s="134">
        <v>14</v>
      </c>
      <c r="O38" s="134">
        <v>700</v>
      </c>
      <c r="P38" s="119">
        <v>0</v>
      </c>
      <c r="Q38" s="119">
        <v>0</v>
      </c>
      <c r="R38" s="119">
        <v>0</v>
      </c>
      <c r="S38" s="119">
        <f>IF(ISNUMBER(MasajidDB[[#This Row],[سعة المسجد من المصليين
(رجل)]]),MasajidDB[[#This Row],[سعة المسجد من المصليين
(رجل)]],0)
+IF(ISNUMBER(MasajidDB[[#This Row],[سعة المسجد من المصليات
(امرأة)]]),MasajidDB[[#This Row],[سعة المسجد من المصليات
(امرأة)]],0)</f>
        <v>700</v>
      </c>
      <c r="T38" s="119">
        <v>6</v>
      </c>
      <c r="U38" s="119">
        <v>0</v>
      </c>
      <c r="V38" s="119">
        <v>9</v>
      </c>
      <c r="W38" s="119">
        <v>0</v>
      </c>
      <c r="X38" s="119">
        <v>0</v>
      </c>
      <c r="Y38" s="119">
        <v>0</v>
      </c>
      <c r="Z38" s="119">
        <v>0</v>
      </c>
      <c r="AA38" s="119">
        <v>86</v>
      </c>
      <c r="AB38" s="119">
        <v>12</v>
      </c>
      <c r="AC38" s="119">
        <v>4</v>
      </c>
      <c r="AD38" s="119">
        <v>14</v>
      </c>
      <c r="AE38" s="119">
        <v>0</v>
      </c>
      <c r="AF38" s="119">
        <v>0</v>
      </c>
      <c r="AG38" s="119">
        <v>0</v>
      </c>
      <c r="AH38" s="119">
        <v>0</v>
      </c>
      <c r="AI38" s="119">
        <v>2</v>
      </c>
      <c r="AJ38" s="119">
        <v>10</v>
      </c>
      <c r="AK38" s="120" t="b">
        <v>0</v>
      </c>
      <c r="AL38" s="120" t="b">
        <v>0</v>
      </c>
      <c r="AM38" s="120" t="b">
        <v>0</v>
      </c>
      <c r="AN38" s="157" t="s">
        <v>712</v>
      </c>
      <c r="AO38" s="148"/>
      <c r="AP38" s="135"/>
      <c r="AQ38" s="135"/>
      <c r="AR38" s="135"/>
      <c r="AS38" s="137"/>
      <c r="AT38" s="120" t="b">
        <v>0</v>
      </c>
      <c r="AU38" s="143">
        <f>IF(MasajidDB[[#This Row],[خطيب مسجد؟]],1,0)</f>
        <v>0</v>
      </c>
      <c r="AV38" s="142"/>
      <c r="AW38" s="142"/>
      <c r="AX38" s="142"/>
      <c r="AY38" s="142">
        <f>IFERROR(IF(VALUE(LEFT(MasajidDB[[#This Row],[Column313]],1))=1,1,0),0)</f>
        <v>0</v>
      </c>
      <c r="AZ38" s="142"/>
      <c r="BA38" s="144" t="b">
        <v>1</v>
      </c>
      <c r="BB38" s="143">
        <f>IF(MasajidDB[[#This Row],[إمام مسجد؟]],1,0)</f>
        <v>1</v>
      </c>
      <c r="BC38" s="142" t="s">
        <v>743</v>
      </c>
      <c r="BD38" s="142">
        <v>555774616</v>
      </c>
      <c r="BE38" s="142">
        <v>22023558776</v>
      </c>
      <c r="BF38" s="142">
        <f>IFERROR(IF(VALUE(LEFT(MasajidDB[[#This Row],[Column316]],1))=1,1,0),0)</f>
        <v>0</v>
      </c>
      <c r="BG38" s="131" t="b">
        <v>1</v>
      </c>
      <c r="BH38" s="135" t="s">
        <v>659</v>
      </c>
      <c r="BI38" s="144" t="b">
        <v>1</v>
      </c>
      <c r="BJ38" s="142">
        <f>IF(MasajidDB[[#This Row],[مؤذن مسجد؟]],1,0)</f>
        <v>1</v>
      </c>
      <c r="BK38" s="142" t="s">
        <v>743</v>
      </c>
      <c r="BL38" s="142">
        <v>555774616</v>
      </c>
      <c r="BM38" s="142">
        <v>22023558776</v>
      </c>
      <c r="BN38" s="142">
        <f>IFERROR(IF(VALUE(LEFT(MasajidDB[[#This Row],[Column319]],1))=1,1,0),0)</f>
        <v>0</v>
      </c>
      <c r="BO38" s="131" t="b">
        <v>0</v>
      </c>
      <c r="BP38" s="135" t="s">
        <v>659</v>
      </c>
      <c r="BQ38" s="131" t="b">
        <v>0</v>
      </c>
      <c r="BR38" s="142">
        <f>IF(MasajidDB[[#This Row],[مشرف على منشأة تعليمية؟]],1,0)</f>
        <v>0</v>
      </c>
      <c r="BS38" s="135"/>
      <c r="BT38" s="135"/>
      <c r="BU38" s="142"/>
      <c r="BV38" s="142">
        <f>IFERROR(IF(VALUE(LEFT(MasajidDB[[#This Row],[Column322]],1))=1,1,0),0)</f>
        <v>0</v>
      </c>
      <c r="BW38" s="142"/>
      <c r="BX38" s="131" t="b">
        <v>1</v>
      </c>
      <c r="BY38" s="131" t="b">
        <v>1</v>
      </c>
      <c r="BZ38" s="131" t="b">
        <v>1</v>
      </c>
      <c r="CA38" s="131" t="b">
        <v>1</v>
      </c>
      <c r="CB38" s="131" t="b">
        <v>0</v>
      </c>
      <c r="CC38" s="131" t="b">
        <v>0</v>
      </c>
      <c r="CD38" s="131" t="b">
        <v>0</v>
      </c>
      <c r="CE38" s="131" t="b">
        <v>0</v>
      </c>
      <c r="CF38" s="131" t="b">
        <v>0</v>
      </c>
      <c r="CG38" s="131" t="b">
        <v>0</v>
      </c>
    </row>
    <row r="39" spans="1:94" ht="30" customHeight="1" x14ac:dyDescent="0.2">
      <c r="A39" s="109">
        <f>ROW()-ROW(MasajidDB[[#Headers],[م]])</f>
        <v>33</v>
      </c>
      <c r="B39" s="111" t="s">
        <v>237</v>
      </c>
      <c r="C39" s="111" t="s">
        <v>105</v>
      </c>
      <c r="D39" s="159" t="s">
        <v>205</v>
      </c>
      <c r="E39" s="153" t="s">
        <v>72</v>
      </c>
      <c r="F39" s="112" t="s">
        <v>206</v>
      </c>
      <c r="G39" s="112" t="s">
        <v>207</v>
      </c>
      <c r="H39" s="132"/>
      <c r="I39" s="133"/>
      <c r="J39" s="133"/>
      <c r="K39" s="160" t="s">
        <v>744</v>
      </c>
      <c r="L39" s="161" t="s">
        <v>652</v>
      </c>
      <c r="M39" s="162" t="s">
        <v>652</v>
      </c>
      <c r="N39" s="162" t="s">
        <v>652</v>
      </c>
      <c r="O39" s="162" t="s">
        <v>652</v>
      </c>
      <c r="P39" s="119" t="s">
        <v>652</v>
      </c>
      <c r="Q39" s="119" t="s">
        <v>652</v>
      </c>
      <c r="R39" s="119" t="s">
        <v>652</v>
      </c>
      <c r="S39" s="119">
        <f>IF(ISNUMBER(MasajidDB[[#This Row],[سعة المسجد من المصليين
(رجل)]]),MasajidDB[[#This Row],[سعة المسجد من المصليين
(رجل)]],0)
+IF(ISNUMBER(MasajidDB[[#This Row],[سعة المسجد من المصليات
(امرأة)]]),MasajidDB[[#This Row],[سعة المسجد من المصليات
(امرأة)]],0)</f>
        <v>0</v>
      </c>
      <c r="T39" s="119" t="s">
        <v>652</v>
      </c>
      <c r="U39" s="119" t="s">
        <v>652</v>
      </c>
      <c r="V39" s="119" t="s">
        <v>652</v>
      </c>
      <c r="W39" s="119" t="s">
        <v>652</v>
      </c>
      <c r="X39" s="119" t="s">
        <v>652</v>
      </c>
      <c r="Y39" s="119" t="s">
        <v>652</v>
      </c>
      <c r="Z39" s="119" t="s">
        <v>652</v>
      </c>
      <c r="AA39" s="119"/>
      <c r="AB39" s="163"/>
      <c r="AC39" s="163"/>
      <c r="AD39" s="163"/>
      <c r="AE39" s="163"/>
      <c r="AF39" s="163"/>
      <c r="AG39" s="163"/>
      <c r="AH39" s="163"/>
      <c r="AI39" s="119"/>
      <c r="AJ39" s="119"/>
      <c r="AK39" s="120" t="b">
        <v>0</v>
      </c>
      <c r="AL39" s="120" t="b">
        <v>0</v>
      </c>
      <c r="AM39" s="120" t="b">
        <v>0</v>
      </c>
      <c r="AN39" s="157" t="s">
        <v>745</v>
      </c>
      <c r="AO39" s="148"/>
      <c r="AP39" s="135"/>
      <c r="AQ39" s="135"/>
      <c r="AR39" s="135"/>
      <c r="AS39" s="137"/>
      <c r="AT39" s="120" t="b">
        <v>0</v>
      </c>
      <c r="AU39" s="143">
        <f>IF(MasajidDB[[#This Row],[خطيب مسجد؟]],1,0)</f>
        <v>0</v>
      </c>
      <c r="AV39" s="142"/>
      <c r="AW39" s="142"/>
      <c r="AX39" s="142"/>
      <c r="AY39" s="142">
        <f>IFERROR(IF(VALUE(LEFT(MasajidDB[[#This Row],[Column313]],1))=1,1,0),0)</f>
        <v>0</v>
      </c>
      <c r="AZ39" s="142"/>
      <c r="BA39" s="144" t="b">
        <v>0</v>
      </c>
      <c r="BB39" s="143">
        <f>IF(MasajidDB[[#This Row],[إمام مسجد؟]],1,0)</f>
        <v>0</v>
      </c>
      <c r="BC39" s="142"/>
      <c r="BD39" s="142"/>
      <c r="BE39" s="142"/>
      <c r="BF39" s="142">
        <f>IFERROR(IF(VALUE(LEFT(MasajidDB[[#This Row],[Column316]],1))=1,1,0),0)</f>
        <v>0</v>
      </c>
      <c r="BG39" s="131" t="b">
        <v>0</v>
      </c>
      <c r="BH39" s="142"/>
      <c r="BI39" s="144" t="b">
        <v>0</v>
      </c>
      <c r="BJ39" s="142">
        <f>IF(MasajidDB[[#This Row],[مؤذن مسجد؟]],1,0)</f>
        <v>0</v>
      </c>
      <c r="BK39" s="142"/>
      <c r="BL39" s="142"/>
      <c r="BM39" s="142"/>
      <c r="BN39" s="142">
        <f>IFERROR(IF(VALUE(LEFT(MasajidDB[[#This Row],[Column319]],1))=1,1,0),0)</f>
        <v>0</v>
      </c>
      <c r="BO39" s="131" t="b">
        <v>0</v>
      </c>
      <c r="BP39" s="135"/>
      <c r="BQ39" s="131" t="b">
        <v>0</v>
      </c>
      <c r="BR39" s="142">
        <f>IF(MasajidDB[[#This Row],[مشرف على منشأة تعليمية؟]],1,0)</f>
        <v>0</v>
      </c>
      <c r="BS39" s="135"/>
      <c r="BT39" s="135"/>
      <c r="BU39" s="142"/>
      <c r="BV39" s="142">
        <f>IFERROR(IF(VALUE(LEFT(MasajidDB[[#This Row],[Column322]],1))=1,1,0),0)</f>
        <v>0</v>
      </c>
      <c r="BW39" s="142"/>
      <c r="BX39" s="131" t="b">
        <v>0</v>
      </c>
      <c r="BY39" s="131" t="b">
        <v>0</v>
      </c>
      <c r="BZ39" s="131" t="b">
        <v>0</v>
      </c>
      <c r="CA39" s="131" t="b">
        <v>0</v>
      </c>
      <c r="CB39" s="131" t="b">
        <v>0</v>
      </c>
      <c r="CC39" s="131" t="b">
        <v>0</v>
      </c>
      <c r="CD39" s="131" t="b">
        <v>0</v>
      </c>
      <c r="CE39" s="131" t="b">
        <v>0</v>
      </c>
      <c r="CF39" s="131" t="b">
        <v>0</v>
      </c>
      <c r="CG39" s="131" t="b">
        <v>0</v>
      </c>
    </row>
    <row r="40" spans="1:94" ht="30" customHeight="1" x14ac:dyDescent="0.2">
      <c r="A40" s="109">
        <f>ROW()-ROW(MasajidDB[[#Headers],[م]])</f>
        <v>34</v>
      </c>
      <c r="B40" s="111" t="s">
        <v>226</v>
      </c>
      <c r="C40" s="111" t="s">
        <v>676</v>
      </c>
      <c r="D40" s="164" t="s">
        <v>208</v>
      </c>
      <c r="E40" s="153" t="s">
        <v>72</v>
      </c>
      <c r="F40" s="112" t="s">
        <v>209</v>
      </c>
      <c r="G40" s="112" t="s">
        <v>210</v>
      </c>
      <c r="H40" s="155" t="s">
        <v>650</v>
      </c>
      <c r="I40" s="133">
        <v>21.399066999999999</v>
      </c>
      <c r="J40" s="133">
        <v>39.710372</v>
      </c>
      <c r="K40" s="160" t="s">
        <v>744</v>
      </c>
      <c r="L40" s="140">
        <v>5600</v>
      </c>
      <c r="M40" s="135">
        <v>4800</v>
      </c>
      <c r="N40" s="135">
        <v>30</v>
      </c>
      <c r="O40" s="135">
        <v>3500</v>
      </c>
      <c r="P40" s="119">
        <v>190</v>
      </c>
      <c r="Q40" s="119">
        <v>20</v>
      </c>
      <c r="R40" s="119">
        <v>180</v>
      </c>
      <c r="S40" s="119">
        <f>IF(ISNUMBER(MasajidDB[[#This Row],[سعة المسجد من المصليين
(رجل)]]),MasajidDB[[#This Row],[سعة المسجد من المصليين
(رجل)]],0)
+IF(ISNUMBER(MasajidDB[[#This Row],[سعة المسجد من المصليات
(امرأة)]]),MasajidDB[[#This Row],[سعة المسجد من المصليات
(امرأة)]],0)</f>
        <v>3680</v>
      </c>
      <c r="T40" s="119">
        <v>47</v>
      </c>
      <c r="U40" s="119">
        <v>3</v>
      </c>
      <c r="V40" s="119">
        <v>3</v>
      </c>
      <c r="W40" s="119">
        <v>10</v>
      </c>
      <c r="X40" s="119">
        <v>0</v>
      </c>
      <c r="Y40" s="119">
        <v>2</v>
      </c>
      <c r="Z40" s="119" t="s">
        <v>652</v>
      </c>
      <c r="AA40" s="119">
        <v>1620</v>
      </c>
      <c r="AB40" s="142">
        <v>60</v>
      </c>
      <c r="AC40" s="142">
        <v>17</v>
      </c>
      <c r="AD40" s="142">
        <v>80</v>
      </c>
      <c r="AE40" s="142">
        <v>300</v>
      </c>
      <c r="AF40" s="142">
        <v>3</v>
      </c>
      <c r="AG40" s="142">
        <v>10</v>
      </c>
      <c r="AH40" s="142">
        <v>20</v>
      </c>
      <c r="AI40" s="119">
        <v>18</v>
      </c>
      <c r="AJ40" s="119">
        <v>0</v>
      </c>
      <c r="AK40" s="120" t="b">
        <v>0</v>
      </c>
      <c r="AL40" s="120" t="b">
        <v>0</v>
      </c>
      <c r="AM40" s="120" t="b">
        <v>0</v>
      </c>
      <c r="AN40" s="157" t="s">
        <v>745</v>
      </c>
      <c r="AO40" s="148"/>
      <c r="AP40" s="135"/>
      <c r="AQ40" s="135"/>
      <c r="AR40" s="135"/>
      <c r="AS40" s="137"/>
      <c r="AT40" s="120" t="b">
        <v>1</v>
      </c>
      <c r="AU40" s="143">
        <f>IF(MasajidDB[[#This Row],[خطيب مسجد؟]],1,0)</f>
        <v>1</v>
      </c>
      <c r="AV40" s="142" t="s">
        <v>746</v>
      </c>
      <c r="AW40" s="142">
        <v>503777085</v>
      </c>
      <c r="AX40" s="142" t="s">
        <v>747</v>
      </c>
      <c r="AY40" s="130">
        <f>IFERROR(IF(VALUE(LEFT(MasajidDB[[#This Row],[Column313]],1))=1,1,0),0)</f>
        <v>1</v>
      </c>
      <c r="AZ40" s="122" t="s">
        <v>648</v>
      </c>
      <c r="BA40" s="144" t="b">
        <v>1</v>
      </c>
      <c r="BB40" s="143">
        <f>IF(MasajidDB[[#This Row],[إمام مسجد؟]],1,0)</f>
        <v>1</v>
      </c>
      <c r="BC40" s="142" t="s">
        <v>746</v>
      </c>
      <c r="BD40" s="142" t="s">
        <v>748</v>
      </c>
      <c r="BE40" s="142" t="s">
        <v>747</v>
      </c>
      <c r="BF40" s="142">
        <f>IFERROR(IF(VALUE(LEFT(MasajidDB[[#This Row],[Column316]],1))=1,1,0),0)</f>
        <v>1</v>
      </c>
      <c r="BG40" s="131" t="b">
        <v>1</v>
      </c>
      <c r="BH40" s="122" t="s">
        <v>648</v>
      </c>
      <c r="BI40" s="144" t="b">
        <v>1</v>
      </c>
      <c r="BJ40" s="142">
        <f>IF(MasajidDB[[#This Row],[مؤذن مسجد؟]],1,0)</f>
        <v>1</v>
      </c>
      <c r="BK40" s="142" t="s">
        <v>749</v>
      </c>
      <c r="BL40" s="142" t="s">
        <v>750</v>
      </c>
      <c r="BM40" s="142">
        <v>1043156049</v>
      </c>
      <c r="BN40" s="142">
        <f>IFERROR(IF(VALUE(LEFT(MasajidDB[[#This Row],[Column319]],1))=1,1,0),0)</f>
        <v>1</v>
      </c>
      <c r="BO40" s="131" t="b">
        <v>1</v>
      </c>
      <c r="BP40" s="122" t="s">
        <v>648</v>
      </c>
      <c r="BQ40" s="131" t="b">
        <v>0</v>
      </c>
      <c r="BR40" s="142">
        <f>IF(MasajidDB[[#This Row],[مشرف على منشأة تعليمية؟]],1,0)</f>
        <v>0</v>
      </c>
      <c r="BS40" s="135"/>
      <c r="BT40" s="135"/>
      <c r="BU40" s="142"/>
      <c r="BV40" s="142">
        <f>IFERROR(IF(VALUE(LEFT(MasajidDB[[#This Row],[Column322]],1))=1,1,0),0)</f>
        <v>0</v>
      </c>
      <c r="BW40" s="142"/>
      <c r="BX40" s="131" t="b">
        <v>0</v>
      </c>
      <c r="BY40" s="131" t="b">
        <v>0</v>
      </c>
      <c r="BZ40" s="131" t="b">
        <v>0</v>
      </c>
      <c r="CA40" s="131" t="b">
        <v>0</v>
      </c>
      <c r="CB40" s="131" t="b">
        <v>0</v>
      </c>
      <c r="CC40" s="131" t="b">
        <v>0</v>
      </c>
      <c r="CD40" s="131" t="b">
        <v>0</v>
      </c>
      <c r="CE40" s="131" t="b">
        <v>0</v>
      </c>
      <c r="CF40" s="131" t="b">
        <v>0</v>
      </c>
      <c r="CG40" s="131" t="b">
        <v>0</v>
      </c>
    </row>
    <row r="41" spans="1:94" ht="30" customHeight="1" x14ac:dyDescent="0.2">
      <c r="A41" s="109">
        <f>ROW()-ROW(MasajidDB[[#Headers],[م]])</f>
        <v>35</v>
      </c>
      <c r="B41" s="111" t="s">
        <v>226</v>
      </c>
      <c r="C41" s="111" t="s">
        <v>676</v>
      </c>
      <c r="D41" s="111" t="s">
        <v>212</v>
      </c>
      <c r="E41" s="153" t="s">
        <v>72</v>
      </c>
      <c r="F41" s="112" t="s">
        <v>213</v>
      </c>
      <c r="G41" s="112" t="s">
        <v>214</v>
      </c>
      <c r="H41" s="132"/>
      <c r="I41" s="133"/>
      <c r="J41" s="133"/>
      <c r="K41" s="160" t="s">
        <v>744</v>
      </c>
      <c r="L41" s="140" t="s">
        <v>652</v>
      </c>
      <c r="M41" s="135" t="s">
        <v>652</v>
      </c>
      <c r="N41" s="135" t="s">
        <v>652</v>
      </c>
      <c r="O41" s="135" t="s">
        <v>652</v>
      </c>
      <c r="P41" s="119" t="s">
        <v>652</v>
      </c>
      <c r="Q41" s="119" t="s">
        <v>652</v>
      </c>
      <c r="R41" s="119" t="s">
        <v>652</v>
      </c>
      <c r="S41" s="119">
        <f>IF(ISNUMBER(MasajidDB[[#This Row],[سعة المسجد من المصليين
(رجل)]]),MasajidDB[[#This Row],[سعة المسجد من المصليين
(رجل)]],0)
+IF(ISNUMBER(MasajidDB[[#This Row],[سعة المسجد من المصليات
(امرأة)]]),MasajidDB[[#This Row],[سعة المسجد من المصليات
(امرأة)]],0)</f>
        <v>0</v>
      </c>
      <c r="T41" s="119" t="s">
        <v>652</v>
      </c>
      <c r="U41" s="119" t="s">
        <v>652</v>
      </c>
      <c r="V41" s="119" t="s">
        <v>652</v>
      </c>
      <c r="W41" s="119" t="s">
        <v>652</v>
      </c>
      <c r="X41" s="119" t="s">
        <v>652</v>
      </c>
      <c r="Y41" s="119" t="s">
        <v>652</v>
      </c>
      <c r="Z41" s="119" t="s">
        <v>652</v>
      </c>
      <c r="AA41" s="119"/>
      <c r="AB41" s="142"/>
      <c r="AC41" s="142"/>
      <c r="AD41" s="142"/>
      <c r="AE41" s="142"/>
      <c r="AF41" s="142"/>
      <c r="AG41" s="142"/>
      <c r="AH41" s="142"/>
      <c r="AI41" s="119"/>
      <c r="AJ41" s="119"/>
      <c r="AK41" s="120" t="b">
        <v>0</v>
      </c>
      <c r="AL41" s="120" t="b">
        <v>0</v>
      </c>
      <c r="AM41" s="120" t="b">
        <v>0</v>
      </c>
      <c r="AN41" s="157" t="s">
        <v>745</v>
      </c>
      <c r="AO41" s="148"/>
      <c r="AP41" s="135" t="s">
        <v>751</v>
      </c>
      <c r="AQ41" s="135">
        <v>1043156049</v>
      </c>
      <c r="AR41" s="135">
        <v>505841058</v>
      </c>
      <c r="AS41" s="137"/>
      <c r="AT41" s="120" t="b">
        <v>0</v>
      </c>
      <c r="AU41" s="143">
        <f>IF(MasajidDB[[#This Row],[خطيب مسجد؟]],1,0)</f>
        <v>0</v>
      </c>
      <c r="AV41" s="142"/>
      <c r="AW41" s="142"/>
      <c r="AX41" s="142"/>
      <c r="AY41" s="142">
        <f>IFERROR(IF(VALUE(LEFT(MasajidDB[[#This Row],[Column313]],1))=1,1,0),0)</f>
        <v>0</v>
      </c>
      <c r="AZ41" s="142"/>
      <c r="BA41" s="144" t="b">
        <v>0</v>
      </c>
      <c r="BB41" s="143">
        <f>IF(MasajidDB[[#This Row],[إمام مسجد؟]],1,0)</f>
        <v>0</v>
      </c>
      <c r="BC41" s="142"/>
      <c r="BD41" s="142"/>
      <c r="BE41" s="142"/>
      <c r="BF41" s="142">
        <f>IFERROR(IF(VALUE(LEFT(MasajidDB[[#This Row],[Column316]],1))=1,1,0),0)</f>
        <v>0</v>
      </c>
      <c r="BG41" s="131" t="b">
        <v>0</v>
      </c>
      <c r="BH41" s="142"/>
      <c r="BI41" s="144" t="b">
        <v>0</v>
      </c>
      <c r="BJ41" s="142">
        <f>IF(MasajidDB[[#This Row],[مؤذن مسجد؟]],1,0)</f>
        <v>0</v>
      </c>
      <c r="BK41" s="142"/>
      <c r="BL41" s="142"/>
      <c r="BM41" s="142"/>
      <c r="BN41" s="142">
        <f>IFERROR(IF(VALUE(LEFT(MasajidDB[[#This Row],[Column319]],1))=1,1,0),0)</f>
        <v>0</v>
      </c>
      <c r="BO41" s="131" t="b">
        <v>0</v>
      </c>
      <c r="BP41" s="135"/>
      <c r="BQ41" s="131" t="b">
        <v>0</v>
      </c>
      <c r="BR41" s="142">
        <f>IF(MasajidDB[[#This Row],[مشرف على منشأة تعليمية؟]],1,0)</f>
        <v>0</v>
      </c>
      <c r="BS41" s="135"/>
      <c r="BT41" s="135"/>
      <c r="BU41" s="142"/>
      <c r="BV41" s="142">
        <f>IFERROR(IF(VALUE(LEFT(MasajidDB[[#This Row],[Column322]],1))=1,1,0),0)</f>
        <v>0</v>
      </c>
      <c r="BW41" s="142"/>
      <c r="BX41" s="131" t="b">
        <v>0</v>
      </c>
      <c r="BY41" s="131" t="b">
        <v>0</v>
      </c>
      <c r="BZ41" s="131" t="b">
        <v>0</v>
      </c>
      <c r="CA41" s="131" t="b">
        <v>0</v>
      </c>
      <c r="CB41" s="131" t="b">
        <v>0</v>
      </c>
      <c r="CC41" s="131" t="b">
        <v>0</v>
      </c>
      <c r="CD41" s="131" t="b">
        <v>0</v>
      </c>
      <c r="CE41" s="131" t="b">
        <v>0</v>
      </c>
      <c r="CF41" s="131" t="b">
        <v>0</v>
      </c>
      <c r="CG41" s="131" t="b">
        <v>0</v>
      </c>
    </row>
    <row r="42" spans="1:94" ht="30" customHeight="1" thickBot="1" x14ac:dyDescent="0.25">
      <c r="A42" s="109">
        <f>ROW()-ROW(MasajidDB[[#Headers],[م]])</f>
        <v>36</v>
      </c>
      <c r="B42" s="165" t="s">
        <v>226</v>
      </c>
      <c r="C42" s="165" t="s">
        <v>676</v>
      </c>
      <c r="D42" s="165" t="s">
        <v>752</v>
      </c>
      <c r="E42" s="153" t="s">
        <v>72</v>
      </c>
      <c r="F42" s="149" t="s">
        <v>753</v>
      </c>
      <c r="G42" s="149" t="s">
        <v>217</v>
      </c>
      <c r="H42" s="166"/>
      <c r="I42" s="167"/>
      <c r="J42" s="167"/>
      <c r="K42" s="168" t="s">
        <v>744</v>
      </c>
      <c r="L42" s="140" t="s">
        <v>652</v>
      </c>
      <c r="M42" s="135" t="s">
        <v>652</v>
      </c>
      <c r="N42" s="135" t="s">
        <v>652</v>
      </c>
      <c r="O42" s="135" t="s">
        <v>652</v>
      </c>
      <c r="P42" s="119" t="s">
        <v>652</v>
      </c>
      <c r="Q42" s="119" t="s">
        <v>652</v>
      </c>
      <c r="R42" s="119" t="s">
        <v>652</v>
      </c>
      <c r="S42" s="119">
        <f>IF(ISNUMBER(MasajidDB[[#This Row],[سعة المسجد من المصليين
(رجل)]]),MasajidDB[[#This Row],[سعة المسجد من المصليين
(رجل)]],0)
+IF(ISNUMBER(MasajidDB[[#This Row],[سعة المسجد من المصليات
(امرأة)]]),MasajidDB[[#This Row],[سعة المسجد من المصليات
(امرأة)]],0)</f>
        <v>0</v>
      </c>
      <c r="T42" s="119" t="s">
        <v>652</v>
      </c>
      <c r="U42" s="119" t="s">
        <v>652</v>
      </c>
      <c r="V42" s="119" t="s">
        <v>652</v>
      </c>
      <c r="W42" s="119" t="s">
        <v>652</v>
      </c>
      <c r="X42" s="119" t="s">
        <v>652</v>
      </c>
      <c r="Y42" s="119" t="s">
        <v>652</v>
      </c>
      <c r="Z42" s="119" t="s">
        <v>652</v>
      </c>
      <c r="AA42" s="119"/>
      <c r="AB42" s="142"/>
      <c r="AC42" s="142"/>
      <c r="AD42" s="142"/>
      <c r="AE42" s="142"/>
      <c r="AF42" s="142"/>
      <c r="AG42" s="142"/>
      <c r="AH42" s="142"/>
      <c r="AI42" s="119"/>
      <c r="AJ42" s="119"/>
      <c r="AK42" s="120" t="b">
        <v>0</v>
      </c>
      <c r="AL42" s="120" t="b">
        <v>0</v>
      </c>
      <c r="AM42" s="120" t="b">
        <v>0</v>
      </c>
      <c r="AN42" s="157" t="s">
        <v>745</v>
      </c>
      <c r="AO42" s="148"/>
      <c r="AP42" s="135" t="s">
        <v>754</v>
      </c>
      <c r="AQ42" s="135">
        <v>1014762270</v>
      </c>
      <c r="AR42" s="135">
        <v>544491600</v>
      </c>
      <c r="AS42" s="137"/>
      <c r="AT42" s="120" t="b">
        <v>0</v>
      </c>
      <c r="AU42" s="143">
        <f>IF(MasajidDB[[#This Row],[خطيب مسجد؟]],1,0)</f>
        <v>0</v>
      </c>
      <c r="AV42" s="142"/>
      <c r="AW42" s="142"/>
      <c r="AX42" s="142"/>
      <c r="AY42" s="142">
        <f>IFERROR(IF(VALUE(LEFT(MasajidDB[[#This Row],[Column313]],1))=1,1,0),0)</f>
        <v>0</v>
      </c>
      <c r="AZ42" s="142"/>
      <c r="BA42" s="144" t="b">
        <v>0</v>
      </c>
      <c r="BB42" s="143">
        <f>IF(MasajidDB[[#This Row],[إمام مسجد؟]],1,0)</f>
        <v>0</v>
      </c>
      <c r="BC42" s="142"/>
      <c r="BD42" s="142"/>
      <c r="BE42" s="142"/>
      <c r="BF42" s="142">
        <f>IFERROR(IF(VALUE(LEFT(MasajidDB[[#This Row],[Column316]],1))=1,1,0),0)</f>
        <v>0</v>
      </c>
      <c r="BG42" s="131" t="b">
        <v>0</v>
      </c>
      <c r="BH42" s="142"/>
      <c r="BI42" s="144" t="b">
        <v>0</v>
      </c>
      <c r="BJ42" s="142">
        <f>IF(MasajidDB[[#This Row],[مؤذن مسجد؟]],1,0)</f>
        <v>0</v>
      </c>
      <c r="BK42" s="142"/>
      <c r="BL42" s="142"/>
      <c r="BM42" s="142"/>
      <c r="BN42" s="142">
        <f>IFERROR(IF(VALUE(LEFT(MasajidDB[[#This Row],[Column319]],1))=1,1,0),0)</f>
        <v>0</v>
      </c>
      <c r="BO42" s="131" t="b">
        <v>0</v>
      </c>
      <c r="BP42" s="135"/>
      <c r="BQ42" s="131" t="b">
        <v>0</v>
      </c>
      <c r="BR42" s="142">
        <f>IF(MasajidDB[[#This Row],[مشرف على منشأة تعليمية؟]],1,0)</f>
        <v>0</v>
      </c>
      <c r="BS42" s="135"/>
      <c r="BT42" s="135"/>
      <c r="BU42" s="142"/>
      <c r="BV42" s="142">
        <f>IFERROR(IF(VALUE(LEFT(MasajidDB[[#This Row],[Column322]],1))=1,1,0),0)</f>
        <v>0</v>
      </c>
      <c r="BW42" s="142"/>
      <c r="BX42" s="131" t="b">
        <v>0</v>
      </c>
      <c r="BY42" s="131" t="b">
        <v>0</v>
      </c>
      <c r="BZ42" s="131" t="b">
        <v>0</v>
      </c>
      <c r="CA42" s="131" t="b">
        <v>0</v>
      </c>
      <c r="CB42" s="131" t="b">
        <v>0</v>
      </c>
      <c r="CC42" s="131" t="b">
        <v>0</v>
      </c>
      <c r="CD42" s="131" t="b">
        <v>0</v>
      </c>
      <c r="CE42" s="131" t="b">
        <v>0</v>
      </c>
      <c r="CF42" s="131" t="b">
        <v>0</v>
      </c>
      <c r="CG42" s="131" t="b">
        <v>0</v>
      </c>
    </row>
    <row r="43" spans="1:94" ht="14.25" customHeight="1" thickTop="1" x14ac:dyDescent="0.2">
      <c r="F43" s="169">
        <f>SUM(MasajidDB[اسم المسجد / المدرسة / الإدارة])</f>
        <v>0</v>
      </c>
      <c r="L43" s="170" t="str">
        <f>TEXT(SUBTOTAL(109,MasajidDB[المساحة الكلية
(م2)]),"#,#")&amp;" م2"</f>
        <v>42,618 م2</v>
      </c>
      <c r="M43" s="170" t="str">
        <f>TEXT(SUBTOTAL(109,MasajidDB[مساحة مصلي الرجال
(م2)]),"#,#")&amp;" م2"</f>
        <v>14,381 م2</v>
      </c>
      <c r="N43" s="170" t="str">
        <f>TEXT(SUBTOTAL(109,MasajidDB[عدد صفوف الرجال
(صف)]),"#,#")&amp;" م2"</f>
        <v>308 م2</v>
      </c>
      <c r="O43" s="170" t="str">
        <f>TEXT(SUBTOTAL(109,MasajidDB[سعة المسجد من المصليين
(رجل)]),"#,#")&amp;" م2"</f>
        <v>16,762 م2</v>
      </c>
    </row>
    <row r="46" spans="1:94" ht="14.25" customHeight="1" x14ac:dyDescent="0.2">
      <c r="CI46" s="172"/>
      <c r="CJ46" s="172"/>
      <c r="CK46" s="172"/>
      <c r="CL46" s="172"/>
      <c r="CM46" s="172"/>
      <c r="CN46" s="172"/>
      <c r="CO46" s="172"/>
      <c r="CP46" s="172"/>
    </row>
  </sheetData>
  <mergeCells count="69">
    <mergeCell ref="A1:BM1"/>
    <mergeCell ref="K2:M2"/>
    <mergeCell ref="N2:P2"/>
    <mergeCell ref="AP2:AR2"/>
    <mergeCell ref="A3:A5"/>
    <mergeCell ref="B3:B5"/>
    <mergeCell ref="C3:C5"/>
    <mergeCell ref="D3:D5"/>
    <mergeCell ref="E3:E5"/>
    <mergeCell ref="F3:F5"/>
    <mergeCell ref="AI3:AM3"/>
    <mergeCell ref="S4:S5"/>
    <mergeCell ref="T4:U4"/>
    <mergeCell ref="V4:V5"/>
    <mergeCell ref="W4:X4"/>
    <mergeCell ref="H3:H5"/>
    <mergeCell ref="I3:I5"/>
    <mergeCell ref="J3:J5"/>
    <mergeCell ref="K3:K5"/>
    <mergeCell ref="L3:AH3"/>
    <mergeCell ref="BI3:BP3"/>
    <mergeCell ref="Y4:Y5"/>
    <mergeCell ref="Z4:Z5"/>
    <mergeCell ref="AA4:AD4"/>
    <mergeCell ref="AE4:AH4"/>
    <mergeCell ref="AP4:AP5"/>
    <mergeCell ref="AQ4:AQ5"/>
    <mergeCell ref="AR4:AR5"/>
    <mergeCell ref="AT4:AT5"/>
    <mergeCell ref="AV4:AV5"/>
    <mergeCell ref="AW4:AW5"/>
    <mergeCell ref="AX4:AX5"/>
    <mergeCell ref="BQ3:BW3"/>
    <mergeCell ref="BX3:CG5"/>
    <mergeCell ref="L4:L5"/>
    <mergeCell ref="M4:M5"/>
    <mergeCell ref="N4:N5"/>
    <mergeCell ref="O4:O5"/>
    <mergeCell ref="P4:P5"/>
    <mergeCell ref="Q4:Q5"/>
    <mergeCell ref="R4:R5"/>
    <mergeCell ref="AN3:AN5"/>
    <mergeCell ref="AO3:AO5"/>
    <mergeCell ref="AP3:AR3"/>
    <mergeCell ref="AS3:AS5"/>
    <mergeCell ref="AT3:AZ3"/>
    <mergeCell ref="BA3:BH3"/>
    <mergeCell ref="BD4:BD5"/>
    <mergeCell ref="AY4:AY5"/>
    <mergeCell ref="AZ4:AZ5"/>
    <mergeCell ref="BA4:BA5"/>
    <mergeCell ref="BC4:BC5"/>
    <mergeCell ref="BQ4:BQ5"/>
    <mergeCell ref="BE4:BE5"/>
    <mergeCell ref="BF4:BF5"/>
    <mergeCell ref="BG4:BG5"/>
    <mergeCell ref="BH4:BH5"/>
    <mergeCell ref="BI4:BI5"/>
    <mergeCell ref="BK4:BK5"/>
    <mergeCell ref="BL4:BL5"/>
    <mergeCell ref="BM4:BM5"/>
    <mergeCell ref="BN4:BN5"/>
    <mergeCell ref="BO4:BO5"/>
    <mergeCell ref="BP4:BP5"/>
    <mergeCell ref="BS4:BS5"/>
    <mergeCell ref="BT4:BT5"/>
    <mergeCell ref="BU4:BU5"/>
    <mergeCell ref="BV4:BV5"/>
    <mergeCell ref="BW4:BW5"/>
  </mergeCells>
  <conditionalFormatting sqref="F7:F16 F18:F42">
    <cfRule type="duplicateValues" dxfId="16" priority="16"/>
  </conditionalFormatting>
  <conditionalFormatting sqref="G7:G16 G18:G42 F17:G17">
    <cfRule type="duplicateValues" dxfId="15" priority="17"/>
  </conditionalFormatting>
  <conditionalFormatting sqref="AV7:AZ42">
    <cfRule type="expression" dxfId="14" priority="13">
      <formula>$AT7=FALSE</formula>
    </cfRule>
  </conditionalFormatting>
  <conditionalFormatting sqref="BC7:BH18 BC19:BG19 BC20:BH30 BC31:BG32 BC33:BH33 BC34:BG34 BC35:BH37 BC38:BG38 BC39:BH39 BC40:BG40 BC41:BH42">
    <cfRule type="expression" dxfId="13" priority="14">
      <formula>$BA7=FALSE</formula>
    </cfRule>
  </conditionalFormatting>
  <conditionalFormatting sqref="BH19 BO19:BP19 BK20:BP20 BK22:BP23 BK24:BO24 BK25:BP30 BH31:BH32 BK31:BO32 BK33:BP33 BK34:BO34 BK35:BP36 BK38:BP39 BK40:BO40 BK41:BP42">
    <cfRule type="expression" dxfId="12" priority="8">
      <formula>$BI19=FALSE</formula>
    </cfRule>
  </conditionalFormatting>
  <conditionalFormatting sqref="BH34">
    <cfRule type="expression" dxfId="11" priority="7">
      <formula>$BI34=FALSE</formula>
    </cfRule>
  </conditionalFormatting>
  <conditionalFormatting sqref="BH38">
    <cfRule type="expression" dxfId="10" priority="10">
      <formula>$BI38=FALSE</formula>
    </cfRule>
  </conditionalFormatting>
  <conditionalFormatting sqref="BH40">
    <cfRule type="expression" dxfId="9" priority="12">
      <formula>$AT40=FALSE</formula>
    </cfRule>
  </conditionalFormatting>
  <conditionalFormatting sqref="BK19:BN19">
    <cfRule type="expression" dxfId="8" priority="3">
      <formula>$BA19=FALSE</formula>
    </cfRule>
  </conditionalFormatting>
  <conditionalFormatting sqref="BK7:BP18">
    <cfRule type="expression" dxfId="7" priority="2">
      <formula>$BI7=FALSE</formula>
    </cfRule>
  </conditionalFormatting>
  <conditionalFormatting sqref="BK21:BP21">
    <cfRule type="expression" dxfId="6" priority="1">
      <formula>$BA21=FALSE</formula>
    </cfRule>
  </conditionalFormatting>
  <conditionalFormatting sqref="BK37:BP37">
    <cfRule type="expression" dxfId="5" priority="9">
      <formula>$BA37=FALSE</formula>
    </cfRule>
  </conditionalFormatting>
  <conditionalFormatting sqref="BP24">
    <cfRule type="expression" dxfId="4" priority="4">
      <formula>$BA24=FALSE</formula>
    </cfRule>
  </conditionalFormatting>
  <conditionalFormatting sqref="BP31:BP32">
    <cfRule type="expression" dxfId="3" priority="6">
      <formula>$BI31=FALSE</formula>
    </cfRule>
  </conditionalFormatting>
  <conditionalFormatting sqref="BP34">
    <cfRule type="expression" dxfId="2" priority="5">
      <formula>$BI34=FALSE</formula>
    </cfRule>
  </conditionalFormatting>
  <conditionalFormatting sqref="BP40">
    <cfRule type="expression" dxfId="1" priority="11">
      <formula>$AT40=FALSE</formula>
    </cfRule>
  </conditionalFormatting>
  <conditionalFormatting sqref="BS7:BW42">
    <cfRule type="expression" dxfId="0" priority="15">
      <formula>$BQ7=FALSE</formula>
    </cfRule>
  </conditionalFormatting>
  <dataValidations count="3">
    <dataValidation type="list" allowBlank="1" showInputMessage="1" showErrorMessage="1" sqref="BW7:BW42 BP7:BP42 BH7:BH42 AZ7:AZ42" xr:uid="{C60E4C0E-FB48-456D-A5BF-9724A4BA2493}">
      <formula1>INDIRECT("ManarahStaffCategories[مصدر المكافأة]")</formula1>
    </dataValidation>
    <dataValidation type="list" allowBlank="1" showInputMessage="1" showErrorMessage="1" sqref="CK6:CK17" xr:uid="{72FD4C7F-B034-4651-AE83-80233B5DBEBC}">
      <formula1>INDIRECT("ManarahStaffNationalities[الجنسية]")</formula1>
    </dataValidation>
    <dataValidation type="list" allowBlank="1" showInputMessage="1" showErrorMessage="1" sqref="CJ6:CJ17" xr:uid="{0F34B531-03DE-4DD4-AFCA-664628B573E4}">
      <formula1>INDIRECT("ManarahStaffSalariesSources[مصدر المكافأة]")</formula1>
    </dataValidation>
  </dataValidations>
  <hyperlinks>
    <hyperlink ref="H40" r:id="rId1" xr:uid="{D4B52398-9865-42C1-BFAA-5A3972031D40}"/>
    <hyperlink ref="H15" r:id="rId2" display="جامع مجمع المجدوعي السكني (سعيد - الدمام)" xr:uid="{5394452C-662B-426F-A9BE-71060D5BA692}"/>
    <hyperlink ref="H28" r:id="rId3" xr:uid="{35262BAA-2A84-4815-9300-F3C6A55FEA83}"/>
    <hyperlink ref="H22" r:id="rId4" xr:uid="{38EE9E2D-D5D0-4112-B3CE-A567A1DAE7F1}"/>
    <hyperlink ref="H14" r:id="rId5" xr:uid="{16D4A111-2772-4775-93F3-03E1A2EF3E51}"/>
    <hyperlink ref="H13" r:id="rId6" display="مسجد الباقيات الصالحات" xr:uid="{21DDDD3B-34F4-436D-9A61-01C2F8E75111}"/>
    <hyperlink ref="H19" r:id="rId7" display="مسجد صالح المجدوعي" xr:uid="{606B029D-E9EB-4E73-AA56-C64A280BA110}"/>
    <hyperlink ref="H38" r:id="rId8" xr:uid="{0B677263-E403-4759-A3A9-AD7476FFC71E}"/>
    <hyperlink ref="H30" r:id="rId9" xr:uid="{9B45DEE4-D302-4226-B6DF-4245641E6721}"/>
    <hyperlink ref="H27" r:id="rId10" xr:uid="{03A6949C-0A29-4B35-BAB7-CD0A2E065509}"/>
    <hyperlink ref="H26" r:id="rId11" xr:uid="{1E2B6A7D-387F-429B-841B-A31B8AED1581}"/>
    <hyperlink ref="H25" r:id="rId12" xr:uid="{61BAF647-B055-4A5D-9B56-6B26ED55706F}"/>
    <hyperlink ref="H37" r:id="rId13" display="مصلى مبنى الإدارة" xr:uid="{B573EDE4-CEF8-45A7-ACFA-2EF221E1A176}"/>
    <hyperlink ref="H36" r:id="rId14" display="مسجد مزرعة الشيخ علي المجدوعي" xr:uid="{341742D4-7965-430A-B9EC-3273E4ACCBC6}"/>
    <hyperlink ref="H35" r:id="rId15" display="مصلى ساحة المجدوعي" xr:uid="{5BDD828C-D4DE-400A-BE53-A48F3561989B}"/>
    <hyperlink ref="H34" r:id="rId16" display="مصلى برج مجد سكوير" xr:uid="{2E4E628D-8531-4373-86FD-B690C3C4ED85}"/>
    <hyperlink ref="H32" r:id="rId17" display="مصلى برج المجدوعي الرئيس" xr:uid="{A308E9EB-0F1E-4548-A38B-9987664EAFAC}"/>
    <hyperlink ref="H31" r:id="rId18" display="مصلى معرض هيونداي الرئيس" xr:uid="{A8724549-510A-4F5B-BB25-062BEF0F2C61}"/>
    <hyperlink ref="H29" r:id="rId19" display="مصنع المجدوعي للصناعات الحديدة" xr:uid="{F7E3215F-BFF2-4ADC-A6FE-607080B91B36}"/>
    <hyperlink ref="H24" r:id="rId20" display="مسجد مزرعة الشيخ علي المجدوعي" xr:uid="{13DB2355-EF9B-40DA-904F-38B8667D2676}"/>
    <hyperlink ref="H21" r:id="rId21" display="مسجد مجمع ساكو" xr:uid="{A6905896-E87F-4727-9A86-3CE7DFD3FEE7}"/>
    <hyperlink ref="H20" r:id="rId22" display="مسجد مجمع المجدوعي السكني (الساحة - ينبع)" xr:uid="{7AE9B6B0-97EE-415B-89C0-045D8B3B9BE7}"/>
    <hyperlink ref="H18" r:id="rId23" display="جامع مجمع المجدوعي السكني (البركة - جدة)" xr:uid="{A1E027BF-8A5A-49A1-9762-EA968343C7B2}"/>
    <hyperlink ref="H17" r:id="rId24" display="مسجد مجمع المجدوعي السكني (الجبيل)" xr:uid="{D464CCBF-8E46-45FF-A538-684DD6015F97}"/>
    <hyperlink ref="H12" r:id="rId25" display="مسجد أم عمر المجدوعي" xr:uid="{CBF7FEB5-BFF9-4E6D-ACE2-118864CF8A61}"/>
    <hyperlink ref="H11" r:id="rId26" display="مسجد والدة إبراهيم المجدوعي" xr:uid="{EDDB1A9D-A082-4614-8386-A632439074E5}"/>
    <hyperlink ref="H10" r:id="rId27" display="جامع فكرة بنت سعيد المجدوعي" xr:uid="{F8167279-3695-4C72-A6E4-98C9BB038CCB}"/>
    <hyperlink ref="H9" r:id="rId28" xr:uid="{6A27E316-1BC0-4F2C-8B4B-259807400734}"/>
    <hyperlink ref="H7" r:id="rId29" display="جامع علي المجدوعي" xr:uid="{53ACEADF-CEA1-47E6-B2C8-7B323E5E59F9}"/>
    <hyperlink ref="H8" r:id="rId30" display="مسجد صالح المجدوعي" xr:uid="{D6334095-F119-4C61-9802-074A8F8F285A}"/>
  </hyperlinks>
  <pageMargins left="0.7" right="0.7" top="0.75" bottom="0.75" header="0.3" footer="0.3"/>
  <pageSetup paperSize="9" scale="10" orientation="landscape" r:id="rId31"/>
  <drawing r:id="rId32"/>
  <tableParts count="4">
    <tablePart r:id="rId33"/>
    <tablePart r:id="rId34"/>
    <tablePart r:id="rId35"/>
    <tablePart r:id="rId3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��1E2 'DFEH0,1BE 'D%5/'11E2 'DFEH0,1BE 'D%5/'1
</file>

<file path=customXml/item4.xml>��'DE3'1'D(1F'E,E'DEGE) 'D1&J3J)E3$HD 'D*FAJ0'DE.1, 'D1&J3'D9// 'DE3*G/AE/) 'D%F,'2 'D*B1J(J) (JHE 9ED / E('/1)'DFEH0, / 'D#/')-'D) 'D%,1'!*A5JD -'D) 'D%,1'!'DE3'1'D(1F'E,E'DEGE) 'D1&J3J)E3$HD 'D*FAJ0'DE.1, 'D1&J3'D9// 'DE3*G/AE/) 'D%F,'2 'D*B1J(J) (JHE 9ED / E('/1)'DFEH0, / 'D#/')-'D) 'D%,1'!*A5JD -'D) 'D%,1'!
</file>

<file path=customXml/item5.xml>��
</file>

<file path=customXml/item6.xml>��
</file>

<file path=customXml/item7.xml>��'3E 'DE('/1)E'DC 'DE('/1)'DE3'1'D(1F'E,1E2 'DFEH0,'3E 'DFEH0,'E*/'/ 'DFEH0,FH9 'DE-*HIH5A 'DFEH0,1'(7 EHB9 'DFEH0,1BE 'D%5/'1*'1J. 'D%5/'1".1 *-/J+'DE3*G/A EF 'DFEH0,-'D) 'DFEH0,*A5JD -'D) 'DFEH0,1E2 'D%/'1)'D%/'1)1E2 'DFEH0,1BE 'D%5/'1'DE3'1'D(1F'E,E'DEGE) 'D1&J3J)E3$HD 'D*FAJ0'DE.1, 'D1&J3'D9// 'DE3*G/AE/) 'D%F,'2 'D*B1J(J) (JHE 9ED / E('/1)'DFEH0, / 'D#/')-'D) 'D%,1'!*A5JD -'D) 'D%,1'!'DE3'1'D(1F'E,1E2 'DFEH0,'3E 'DFEH0,'E*/'/ 'DFEH0,FH9 'DE-*HIH5A 'DFEH0,1'(7 EHB9 'DFEH0,1BE 'D%5/'1*'1J. 'D%5/'1".1 *-/J+'DE3*G/A EF 'DFEH0,-'D) 'DFEH0,*A5JD -'D) 'DFEH0,
</file>

<file path=customXml/item8.xml>��'DE3'1'D(1F'E,1E2 'DFEH0,'3E 'DFEH0,'E*/'/ 'DFEH0,FH9 'DE-*HIH5A 'DFEH0,1'(7 EHB9 'DFEH0,1BE 'D%5/'1*'1J. 'D%5/'1".1 *-/J+'DE3*G/A EF 'DFEH0,-'D) 'DFEH0,*A5JD -'D) 'DFEH0,'DE3'1'D(1F'E,1E2 'DFEH0,'3E 'DFEH0,'E*/'/ 'DFEH0,FH9 'DE-*HIH5A 'DFEH0,1'(7 EHB9 'DFEH0,1BE 'D%5/'1*'1J. 'D%5/'1".1 *-/J+'DE3*G/A EF 'DFEH0,-'D) 'DFEH0,*A5JD -'D) 'DFEH0,
</file>

<file path=customXml/item9.xml>��
</file>

<file path=customXml/item10.xml>��
</file>

<file path=customXml/item11.xml>��1E2 'D%/'1)'D%/'1)1E2 'D%/'1)'D%/'1)
</file>

<file path=customXml/item12.xml>��
</file>

<file path=customXml/item13.xml>��
</file>

<file path=customXml/item14.xml>��'3E 'DE('/1)E'DC 'DE('/1)'3E 'DE('/1)E'DC 'DE('/1)
</file>

<file path=customXml/item15.xml>��'DE3'1'D(1F'E,1E2 'DFEH0,'3E 'DFEH0,'E*/'/ 'DFEH0,FH9 'DE-*HIH5A 'DFEH0,1'(7 EHB9 'DFEH0,1BE 'D%5/'1*'1J. 'D%5/'1".1 *-/J+'DE3*G/A EF 'DFEH0,-'D) 'DFEH0,*A5JD -'D) 'DFEH0,'DE3'1'D(1F'E,1E2 'DFEH0,'3E 'DFEH0,'E*/'/ 'DFEH0,FH9 'DE-*HIH5A 'DFEH0,1'(7 EHB9 'DFEH0,1BE 'D%5/'1*'1J. 'D%5/'1".1 *-/J+'DE3*G/A EF 'DFEH0,-'D) 'DFEH0,*A5JD -'D) 'DFEH0,
</file>

<file path=customXml/item16.xml>��
</file>

<file path=customXml/item17.xml>��1E2 'D%/'1)'D%/'1)1E2 'D%/'1)'D%/'1)1E2 'DFEH0,1BE 'D%5/'11E2 'DFEH0,1BE 'D%5/'1'3E 'DE('/1)E'DC 'DE('/1)1E2 'DFEH0,1BE 'D%5/'11E2 'DFEH0,1BE 'D%5/'1'D%/'1)1E2 'DE('/1)'DE('/1)1E2 'DFEH0,1BE 'D%5/'11E2 'DFEH0,1BE 'D%5/'1'DE('/1)1E2 'DE3'1'DE3'1'DE('/1)'DE3'11E2 'D(1F'E,'D(1F'E,'DE3'1'D(1F'E,1E2 'DFEH0,'3E 'DFEH0,'E*/'/ 'DFEH0,FH9 'DE-*HIH5A 'DFEH0,1'(7 EHB9 'DFEH0,1BE 'D%5/'1*'1J. 'D%5/'1".1 *-/J+'DE3*G/A EF 'DFEH0,-'D) 'DFEH0,*A5JD -'D) 'DFEH0,'DE3'1'D(1F'E,1E2 'DFEH0,'3E 'DFEH0,'E*/'/ 'DFEH0,FH9 'DE-*HIH5A 'DFEH0,1'(7 EHB9 'DFEH0,1BE 'D%5/'1*'1J. 'D%5/'1".1 *-/J+'DE3*G/A EF 'DFEH0,-'D) 'DFEH0,*A5JD -'D) 'DFEH0,'DE3'1'D(1F'E,E'DEGE) 'D1&J3J)E3$HD 'D*FAJ0'DE.1, 'D1&J3'D9// 'DE3*G/AE/) 'D%F,'2 'D*B1J(J) (JHE 9ED / E('/1)'DFEH0, / 'D#/')-'D) 'D%,1'!*A5JD -'D) 'D%,1'!'DE3'1'D(1F'E,E'DEGE) 'D1&J3J)E3$HD 'D*FAJ0'DE.1, 'D1&J3'D9// 'DE3*G/AE/) 'D%F,'2 'D*B1J(J) (JHE 9ED / E('/1)'DFEH0, / 'D#/')-'D) 'D%,1'!*A5JD -'D) 'D%,1'!'DE3'1'D(1F'E,1E2 'DFEH0,'3E 'DFEH0,'E*/'/ 'DFEH0,FH9 'DE-*HIH5A 'DFEH0,1'(7 EHB9 'DFEH0,1BE 'D%5/'1*'1J. 'D%5/'1".1 *-/J+'DE3*G/A EF 'DFEH0,-'D) 'DFEH0,*A5JD -'D) 'DFEH0,'DE3'1'D(1F'E,E'DEGE) 'D1&J3J)E3$HD 'D*FAJ0'DE.1, 'D1&J3'D9// 'DE3*G/AE/) 'D%F,'2 'D*B1J(J) (JHE 9ED / E('/1)'DFEH0, / 'D#/')-'D) 'D%,1'!*A5JD -'D) 'D%,1'!'DE3'1'D(1F'E,1E2 'DFEH0,'3E 'DFEH0,'E*/'/ 'DFEH0,FH9 'DE-*HIH5A 'DFEH0,1'(7 EHB9 'DFEH0,1BE 'D%5/'1*'1J. 'D%5/'1".1 *-/J+'DE3*G/A EF 'DFEH0,-'D) 'DFEH0,*A5JD -'D) 'DFEH0,'DE3'1'D(1F'E,E'DEGE) 'D1&J3J)E3$HD 'D*FAJ0'DE.1, 'D1&J3'D9// 'DE3*G/AE/) 'D%F,'2 'D*B1J(J) (JHE 9ED / E('/1)'DFEH0, / 'D#/')-'D) 'D%,1'!*A5JD -'D) 'D%,1'!'DE3'1'D(1F'E,1E2 'DFEH0,'3E 'DFEH0,'E*/'/ 'DFEH0,FH9 'DE-*HIH5A 'DFEH0,1'(7 EHB9 'DFEH0,1BE 'D%5/'1*'1J. 'D%5/'1".1 *-/J+'DE3*G/A EF 'DFEH0,-'D) 'DFEH0,*A5JD -'D) 'DFEH0,'DE3'1'D(1F'E,E'DEGE) 'D1&J3J)E3$HD 'D*FAJ0'DE.1, 'D1&J3'D9// 'DE3*G/AE/) 'D%F,'2 'D*B1J(J) (JHE 9ED / E('/1)'DFEH0, / 'D#/')-'D) 'D%,1'!*A5JD -'D) 'D%,1'!'DE3'1'D(1F'E,1E2 'DFEH0,'3E 'DFEH0,'E*/'/ 'DFEH0,FH9 'DE-*HIH5A 'DFEH0,1'(7 EHB9 'DFEH0,1BE 'D%5/'1*'1J. 'D%5/'1".1 *-/J+'DE3*G/A EF 'DFEH0,-'D) 'DFEH0,*A5JD -'D) 'DFEH0,'DE3'1'D(1F'E,E'DEGE) 'D1&J3J)E3$HD 'D*FAJ0'DE.1, 'D1&J3'D9// 'DE3*G/AE/) 'D%F,'2 'D*B1J(J) (JHE 9ED / E('/1)'DFEH0, / 'D#/')-'D) 'D%,1'!*A5JD -'D) 'D%,1'!'DE3'1'D(1F'E,1E2 'DFEH0,'3E 'DFEH0,'E*/'/ 'DFEH0,FH9 'DE-*HIH5A 'DFEH0,1'(7 EHB9 'DFEH0,1BE 'D%5/'1*'1J. 'D%5/'1".1 *-/J+'DE3*G/A EF 'DFEH0,-'D) 'DFEH0,*A5JD -'D) 'DFEH0,'DE3'1'D(1F'E,E'DEGE) 'D1&J3J)E3$HD 'D*FAJ0'DE.1, 'D1&J3'D9// 'DE3*G/AE/) 'D%F,'2 'D*B1J(J) (JHE 9ED / E('/1)'DFEH0, / 'D#/')-'D) 'D%,1'!*A5JD -'D) 'D%,1'!'DE3'1'D(1F'E,1E2 'DFEH0,'3E 'DFEH0,'E*/'/ 'DFEH0,FH9 'DE-*HIH5A 'DFEH0,1'(7 EHB9 'DFEH0,1BE 'D%5/'1*'1J. 'D%5/'1".1 *-/J+'DE3*G/A EF 'DFEH0,-'D) 'DFEH0,*A5JD -'D) 'DFEH0,'DE3'1'D(1F'E,E'DEGE) 'D1&J3J)E3$HD 'D*FAJ0'DE.1, 'D1&J3'D9// 'DE3*G/AE/) 'D%F,'2 'D*B1J(J) (JHE 9ED / E('/1)'DFEH0, / 'D#/')-'D) 'D%,1'!*A5JD -'D) 'D%,1'!'DE3'1'D(1F'E,1E2 'DFEH0,'3E 'DFEH0,'E*/'/ 'DFEH0,FH9 'DE-*HIH5A 'DFEH0,1'(7 EHB9 'DFEH0,1BE 'D%5/'1*'1J. 'D%5/'1".1 *-/J+'DE3*G/A EF 'DFEH0,-'D) 'DFEH0,*A5JD -'D) 'DFEH0,'DE3'1'D(1F'E,E'DEGE) 'D1&J3J)E3$HD 'D*FAJ0'DE.1, 'D1&J3'D9// 'DE3*G/AE/) 'D%F,'2 'D*B1J(J) (JHE 9ED / E('/1)'DFEH0, / 'D#/')-'D) 'D%,1'!*A5JD -'D) 'D%,1'!'DE3'1'D(1F'E,1E2 'DFEH0,'3E 'DFEH0,'E*/'/ 'DFEH0,FH9 'DE-*HIH5A 'DFEH0,1'(7 EHB9 'DFEH0,1BE 'D%5/'1*'1J. 'D%5/'1".1 *-/J+'DE3*G/A EF 'DFEH0,-'D) 'DFEH0,*A5JD -'D) 'DFEH0,'DE3'1'D(1F'E,E'DEGE) 'D1&J3J)E3$HD 'D*FAJ0'DE.1, 'D1&J3'D9// 'DE3*G/AE/) 'D%F,'2 'D*B1J(J) (JHE 9ED / E('/1)'DFEH0, / 'D#/')-'D) 'D%,1'!*A5JD -'D) 'D%,1'!'DE3'1'D(1F'E,1E2 'DFEH0,'3E 'DFEH0,'E*/'/ 'DFEH0,FH9 'DE-*HIH5A 'DFEH0,1'(7 EHB9 'DFEH0,1BE 'D%5/'1*'1J. 'D%5/'1".1 *-/J+'DE3*G/A EF 'DFEH0,-'D) 'DFEH0,*A5JD -'D) 'DFEH0,'DE3'1'D(1F'E,E'DEGE) 'D1&J3J)E3$HD 'D*FAJ0'DE.1, 'D1&J3'D9// 'DE3*G/AE/) 'D%F,'2 'D*B1J(J) (JHE 9ED / E('/1)'DFEH0, / 'D#/')-'D) 'D%,1'!*A5JD -'D) 'D%,1'!'DE3'1'D(1F'E,1E2 'DFEH0,'3E 'DFEH0,'E*/'/ 'DFEH0,FH9 'DE-*HIH5A 'DFEH0,1'(7 EHB9 'DFEH0,1BE 'D%5/'1*'1J. 'D%5/'1".1 *-/J+'DE3*G/A EF 'DFEH0,-'D) 'DFEH0,*A5JD -'D) 'DFEH0,'DE3'1'D(1F'E,E'DEGE) 'D1&J3J)E3$HD 'D*FAJ0'DE.1, 'D1&J3'D9// 'DE3*G/AE/) 'D%F,'2 'D*B1J(J) (JHE 9ED / E('/1)'DFEH0, / 'D#/')-'D) 'D%,1'!*A5JD -'D) 'D%,1'!'DE3'1'D(1F'E,E'DEGE) 'D1&J3J)E3$HD 'D*FAJ0'DE.1, 'D1&J3'D9// 'DE3*G/AE/) 'D%F,'2 'D*B1J(J) (JHE 9ED / E('/1)'DFEH0, / 'D#/')-'D) 'D%,1'!*A5JD -'D) 'D%,1'!'DE3'1'D(1F'E,1E2 'DFEH0,'3E 'DFEH0,'E*/'/ 'DFEH0,FH9 'DE-*HIH5A 'DFEH0,1'(7 EHB9 'DFEH0,1BE 'D%5/'1*'1J. 'D%5/'1".1 *-/J+'DE3*G/A EF 'DFEH0,-'D) 'DFEH0,*A5JD -'D) 'DFEH0,1E2 'DFEH0,1BE 'D%5/'1'3E 'DE('/1)E'DC 'DE('/1)1E2 'DFEH0,1BE 'D%5/'11E2 'DFEH0,1BE 'D%5/'1'D%/'1)1E2 'DE('/1)'DE('/1)1E2 'DFEH0,1BE 'D%5/'11E2 'DFEH0,1BE 'D%5/'1'DE('/1)1E2 'DE3'1'DE3'1'DE('/1)'DE3'11E2 'D(1F'E,'D(1F'E,'DE3'1'D(1F'E,1E2 'DFEH0,'3E 'DFEH0,'E*/'/ 'DFEH0,FH9 'DE-*HIH5A 'DFEH0,1'(7 EHB9 'DFEH0,1BE 'D%5/'1*'1J. 'D%5/'1".1 *-/J+'DE3*G/A EF 'DFEH0,-'D) 'DFEH0,*A5JD -'D) 'DFEH0,'DE3'1'D(1F'E,1E2 'DFEH0,'3E 'DFEH0,'E*/'/ 'DFEH0,FH9 'DE-*HIH5A 'DFEH0,1'(7 EHB9 'DFEH0,1BE 'D%5/'1*'1J. 'D%5/'1".1 *-/J+'DE3*G/A EF 'DFEH0,-'D) 'DFEH0,*A5JD -'D) 'DFEH0,'DE3'1'D(1F'E,E'DEGE) 'D1&J3J)E3$HD 'D*FAJ0'DE.1, 'D1&J3'D9// 'DE3*G/AE/) 'D%F,'2 'D*B1J(J) (JHE 9ED / E('/1)'DFEH0, / 'D#/')-'D) 'D%,1'!*A5JD -'D) 'D%,1'!'DE3'1'D(1F'E,E'DEGE) 'D1&J3J)E3$HD 'D*FAJ0'DE.1, 'D1&J3'D9// 'DE3*G/AE/) 'D%F,'2 'D*B1J(J) (JHE 9ED / E('/1)'DFEH0, / 'D#/')-'D) 'D%,1'!*A5JD -'D) 'D%,1'!'DE3'1'D(1F'E,1E2 'DFEH0,'3E 'DFEH0,'E*/'/ 'DFEH0,FH9 'DE-*HIH5A 'DFEH0,1'(7 EHB9 'DFEH0,1BE 'D%5/'1*'1J. 'D%5/'1".1 *-/J+'DE3*G/A EF 'DFEH0,-'D) 'DFEH0,*A5JD -'D) 'DFEH0,'DE3'1'D(1F'E,E'DEGE) 'D1&J3J)E3$HD 'D*FAJ0'DE.1, 'D1&J3'D9// 'DE3*G/AE/) 'D%F,'2 'D*B1J(J) (JHE 9ED / E('/1)'DFEH0, / 'D#/')-'D) 'D%,1'!*A5JD -'D) 'D%,1'!'DE3'1'D(1F'E,1E2 'DFEH0,'3E 'DFEH0,'E*/'/ 'DFEH0,FH9 'DE-*HIH5A 'DFEH0,1'(7 EHB9 'DFEH0,1BE 'D%5/'1*'1J. 'D%5/'1".1 *-/J+'DE3*G/A EF 'DFEH0,-'D) 'DFEH0,*A5JD -'D) 'DFEH0,'DE3'1'D(1F'E,E'DEGE) 'D1&J3J)E3$HD 'D*FAJ0'DE.1, 'D1&J3'D9// 'DE3*G/AE/) 'D%F,'2 'D*B1J(J) (JHE 9ED / E('/1)'DFEH0, / 'D#/')-'D) 'D%,1'!*A5JD -'D) 'D%,1'!'DE3'1'D(1F'E,1E2 'DFEH0,'3E 'DFEH0,'E*/'/ 'DFEH0,FH9 'DE-*HIH5A 'DFEH0,1'(7 EHB9 'DFEH0,1BE 'D%5/'1*'1J. 'D%5/'1".1 *-/J+'DE3*G/A EF 'DFEH0,-'D) 'DFEH0,*A5JD -'D) 'DFEH0,'DE3'1'D(1F'E,E'DEGE) 'D1&J3J)E3$HD 'D*FAJ0'DE.1, 'D1&J3'D9// 'DE3*G/AE/) 'D%F,'2 'D*B1J(J) (JHE 9ED / E('/1)'DFEH0, / 'D#/')-'D) 'D%,1'!*A5JD -'D) 'D%,1'!'DE3'1'D(1F'E,1E2 'DFEH0,'3E 'DFEH0,'E*/'/ 'DFEH0,FH9 'DE-*HIH5A 'DFEH0,1'(7 EHB9 'DFEH0,1BE 'D%5/'1*'1J. 'D%5/'1".1 *-/J+'DE3*G/A EF 'DFEH0,-'D) 'DFEH0,*A5JD -'D) 'DFEH0,'DE3'1'D(1F'E,E'DEGE) 'D1&J3J)E3$HD 'D*FAJ0'DE.1, 'D1&J3'D9// 'DE3*G/AE/) 'D%F,'2 'D*B1J(J) (JHE 9ED / E('/1)'DFEH0, / 'D#/')-'D) 'D%,1'!*A5JD -'D) 'D%,1'!'DE3'1'D(1F'E,1E2 'DFEH0,'3E 'DFEH0,'E*/'/ 'DFEH0,FH9 'DE-*HIH5A 'DFEH0,1'(7 EHB9 'DFEH0,1BE 'D%5/'1*'1J. 'D%5/'1".1 *-/J+'DE3*G/A EF 'DFEH0,-'D) 'DFEH0,*A5JD -'D) 'DFEH0,'DE3'1'D(1F'E,E'DEGE) 'D1&J3J)E3$HD 'D*FAJ0'DE.1, 'D1&J3'D9// 'DE3*G/AE/) 'D%F,'2 'D*B1J(J) (JHE 9ED / E('/1)'DFEH0, / 'D#/')-'D) 'D%,1'!*A5JD -'D) 'D%,1'!'DE3'1'D(1F'E,1E2 'DFEH0,'3E 'DFEH0,'E*/'/ 'DFEH0,FH9 'DE-*HIH5A 'DFEH0,1'(7 EHB9 'DFEH0,1BE 'D%5/'1*'1J. 'D%5/'1".1 *-/J+'DE3*G/A EF 'DFEH0,-'D) 'DFEH0,*A5JD -'D) 'DFEH0,'DE3'1'D(1F'E,E'DEGE) 'D1&J3J)E3$HD 'D*FAJ0'DE.1, 'D1&J3'D9// 'DE3*G/AE/) 'D%F,'2 'D*B1J(J) (JHE 9ED / E('/1)'DFEH0, / 'D#/')-'D) 'D%,1'!*A5JD -'D) 'D%,1'!'DE3'1'D(1F'E,1E2 'DFEH0,'3E 'DFEH0,'E*/'/ 'DFEH0,FH9 'DE-*HIH5A 'DFEH0,1'(7 EHB9 'DFEH0,1BE 'D%5/'1*'1J. 'D%5/'1".1 *-/J+'DE3*G/A EF 'DFEH0,-'D) 'DFEH0,*A5JD -'D) 'DFEH0,'DE3'1'D(1F'E,E'DEGE) 'D1&J3J)E3$HD 'D*FAJ0'DE.1, 'D1&J3'D9// 'DE3*G/AE/) 'D%F,'2 'D*B1J(J) (JHE 9ED / E('/1)'DFEH0, / 'D#/')-'D) 'D%,1'!*A5JD -'D) 'D%,1'!'DE3'1'D(1F'E,1E2 'DFEH0,'3E 'DFEH0,'E*/'/ 'DFEH0,FH9 'DE-*HIH5A 'DFEH0,1'(7 EHB9 'DFEH0,1BE 'D%5/'1*'1J. 'D%5/'1".1 *-/J+'DE3*G/A EF 'DFEH0,-'D) 'DFEH0,*A5JD -'D) 'DFEH0,'DE3'1'D(1F'E,E'DEGE) 'D1&J3J)E3$HD 'D*FAJ0'DE.1, 'D1&J3'D9// 'DE3*G/AE/) 'D%F,'2 'D*B1J(J) (JHE 9ED / E('/1)'DFEH0, / 'D#/')-'D) 'D%,1'!*A5JD -'D) 'D%,1'!'DE3'1'D(1F'E,1E2 'DFEH0,'3E 'DFEH0,'E*/'/ 'DFEH0,FH9 'DE-*HIH5A 'DFEH0,1'(7 EHB9 'DFEH0,1BE 'D%5/'1*'1J. 'D%5/'1".1 *-/J+'DE3*G/A EF 'DFEH0,-'D) 'DFEH0,*A5JD -'D) 'DFEH0,'DE3'1'D(1F'E,E'DEGE) 'D1&J3J)E3$HD 'D*FAJ0'DE.1, 'D1&J3'D9// 'DE3*G/AE/) 'D%F,'2 'D*B1J(J) (JHE 9ED / E('/1)'DFEH0, / 'D#/')-'D) 'D%,1'!*A5JD -'D) 'D%,1'!'DE3'1'D(1F'E,1E2 'DFEH0,'3E 'DFEH0,'E*/'/ 'DFEH0,FH9 'DE-*HIH5A 'DFEH0,1'(7 EHB9 'DFEH0,1BE 'D%5/'1*'1J. 'D%5/'1".1 *-/J+'DE3*G/A EF 'DFEH0,-'D) 'DFEH0,*A5JD -'D) 'DFEH0,'DE3'1'D(1F'E,E'DEGE) 'D1&J3J)E3$HD 'D*FAJ0'DE.1, 'D1&J3'D9// 'DE3*G/AE/) 'D%F,'2 'D*B1J(J) (JHE 9ED / E('/1)'DFEH0, / 'D#/')-'D) 'D%,1'!*A5JD -'D) 'D%,1'!'DE3'1'D(1F'E,E'DEGE) 'D1&J3J)E3$HD 'D*FAJ0'DE.1, 'D1&J3'D9// 'DE3*G/AE/) 'D%F,'2 'D*B1J(J) (JHE 9ED / E('/1)'DFEH0, / 'D#/')-'D) 'D%,1'!*A5JD -'D) 'D%,1'!'DE3'1'D(1F'E,1E2 'DFEH0,'3E 'DFEH0,'E*/'/ 'DFEH0,FH9 'DE-*HIH5A 'DFEH0,1'(7 EHB9 'DFEH0,1BE 'D%5/'1*'1J. 'D%5/'1".1 *-/J+'DE3*G/A EF 'DFEH0,-'D) 'DFEH0,*A5JD -'D) 'DFEH0,1E2 'DFEH0,1BE 'D%5/'1'DE3'1'D(1F'E,1E2 'DFEH0,'3E 'DFEH0,'E*/'/ 'DFEH0,FH9 'DE-*HIH5A 'DFEH0,1'(7 EHB9 'DFEH0,1BE 'D%5/'1*'1J. 'D%5/'1".1 *-/J+'DE3*G/A EF 'DFEH0,-'D) 'DFEH0,*A5JD -'D) 'DFEH0,'DE3'1'D(1F'E,1E2 'DFEH0,'3E 'DFEH0,'E*/'/ 'DFEH0,FH9 'DE-*HIH5A 'DFEH0,1'(7 EHB9 'DFEH0,1BE 'D%5/'1*'1J. 'D%5/'1".1 *-/J+'DE3*G/A EF 'DFEH0,-'D) 'DFEH0,*A5JD -'D) 'DFEH0,'3E 'DE('/1)E'DC 'DE('/1)'3E 'DE('/1)E'DC 'DE('/1)'DE3'1'D(1F'E,E'DEGE) 'D1&J3J)E3$HD 'D*FAJ0'DE.1, 'D1&J3'D9// 'DE3*G/AE/) 'D%F,'2 'D*B1J(J) (JHE 9ED / E('/1)'DFEH0, / 'D#/')-'D) 'D%,1'!*A5JD -'D) 'D%,1'!'DE3'1'D(1F'E,E'DEGE) 'D1&J3J)E3$HD 'D*FAJ0'DE.1, 'D1&J3'D9// 'DE3*G/AE/) 'D%F,'2 'D*B1J(J) (JHE 9ED / E('/1)'DFEH0, / 'D#/')-'D) 'D%,1'!*A5JD -'D) 'D%,1'!'DE3'1'D(1F'E,1E2 'DFEH0,'3E 'DFEH0,'E*/'/ 'DFEH0,FH9 'DE-*HIH5A 'DFEH0,1'(7 EHB9 'DFEH0,1BE 'D%5/'1*'1J. 'D%5/'1".1 *-/J+'DE3*G/A EF 'DFEH0,-'D) 'DFEH0,*A5JD -'D) 'DFEH0,'DE3'1'D(1F'E,1E2 'DFEH0,'3E 'DFEH0,'E*/'/ 'DFEH0,FH9 'DE-*HIH5A 'DFEH0,1'(7 EHB9 'DFEH0,1BE 'D%5/'1*'1J. 'D%5/'1".1 *-/J+'DE3*G/A EF 'DFEH0,-'D) 'DFEH0,*A5JD -'D) 'DFEH0,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EB28D489-3E0E-4C52-8018-2E688E5EB80C}">
  <ds:schemaRefs>
    <ds:schemaRef ds:uri="http://gemini/pivotcustomization/PowerPivotVersion"/>
  </ds:schemaRefs>
</ds:datastoreItem>
</file>

<file path=customXml/itemProps2.xml><?xml version="1.0" encoding="utf-8"?>
<ds:datastoreItem xmlns:ds="http://schemas.openxmlformats.org/officeDocument/2006/customXml" ds:itemID="{4AD854AE-1F7C-433D-9F94-10EDE162C8CC}">
  <ds:schemaRefs>
    <ds:schemaRef ds:uri="http://gemini/pivotcustomization/RelationshipAutoDetectionEnabled"/>
  </ds:schemaRefs>
</ds:datastoreItem>
</file>

<file path=customXml/itemProps3.xml><?xml version="1.0" encoding="utf-8"?>
<ds:datastoreItem xmlns:ds="http://schemas.openxmlformats.org/officeDocument/2006/customXml" ds:itemID="{29F72219-FA20-4C02-B03E-2E2ADB653E5D}">
  <ds:schemaRefs>
    <ds:schemaRef ds:uri="http://gemini/pivotcustomization/TableXML_InitiativesOwnersVer-34de12b5-ee13-4df5-91b4-47b8c74cebe0"/>
  </ds:schemaRefs>
</ds:datastoreItem>
</file>

<file path=customXml/itemProps4.xml><?xml version="1.0" encoding="utf-8"?>
<ds:datastoreItem xmlns:ds="http://schemas.openxmlformats.org/officeDocument/2006/customXml" ds:itemID="{4CF2518E-6382-41F8-9993-A925BF1A7DFC}">
  <ds:schemaRefs>
    <ds:schemaRef ds:uri="http://gemini/pivotcustomization/TableXML_ProcessesTafreej-adda66b4-d7e6-4e52-878a-c3ee698e7ece"/>
  </ds:schemaRefs>
</ds:datastoreItem>
</file>

<file path=customXml/itemProps5.xml><?xml version="1.0" encoding="utf-8"?>
<ds:datastoreItem xmlns:ds="http://schemas.openxmlformats.org/officeDocument/2006/customXml" ds:itemID="{146A19BB-7243-4034-8DFF-A8057F87BF9A}">
  <ds:schemaRefs>
    <ds:schemaRef ds:uri="http://gemini/pivotcustomization/SandboxNonEmpty"/>
  </ds:schemaRefs>
</ds:datastoreItem>
</file>

<file path=customXml/itemProps6.xml><?xml version="1.0" encoding="utf-8"?>
<ds:datastoreItem xmlns:ds="http://schemas.openxmlformats.org/officeDocument/2006/customXml" ds:itemID="{796A3CCA-5BE3-4AF3-B7B4-181778BB37BE}">
  <ds:schemaRefs>
    <ds:schemaRef ds:uri="http://gemini/pivotcustomization/FormulaBarState"/>
  </ds:schemaRefs>
</ds:datastoreItem>
</file>

<file path=customXml/itemProps7.xml><?xml version="1.0" encoding="utf-8"?>
<ds:datastoreItem xmlns:ds="http://schemas.openxmlformats.org/officeDocument/2006/customXml" ds:itemID="{4DD490C2-4D41-47EA-BDB0-C5D1E9F25CE9}">
  <ds:schemaRefs>
    <ds:schemaRef ds:uri="http://gemini/pivotcustomization/TableWidget"/>
  </ds:schemaRefs>
</ds:datastoreItem>
</file>

<file path=customXml/itemProps8.xml><?xml version="1.0" encoding="utf-8"?>
<ds:datastoreItem xmlns:ds="http://schemas.openxmlformats.org/officeDocument/2006/customXml" ds:itemID="{7A62A411-8E2C-4E9B-AB73-C4D415D71388}">
  <ds:schemaRefs>
    <ds:schemaRef ds:uri="http://gemini/pivotcustomization/TableXML_DocsTawasul-e1310fd0-643f-4f7a-b8e8-fc51b31dc0e8"/>
  </ds:schemaRefs>
</ds:datastoreItem>
</file>

<file path=customXml/itemProps9.xml><?xml version="1.0" encoding="utf-8"?>
<ds:datastoreItem xmlns:ds="http://schemas.openxmlformats.org/officeDocument/2006/customXml" ds:itemID="{2369F936-829D-4043-B57E-72E7F5D049F7}">
  <ds:schemaRefs>
    <ds:schemaRef ds:uri="http://gemini/pivotcustomization/ErrorCache"/>
  </ds:schemaRefs>
</ds:datastoreItem>
</file>

<file path=customXml/itemProps10.xml><?xml version="1.0" encoding="utf-8"?>
<ds:datastoreItem xmlns:ds="http://schemas.openxmlformats.org/officeDocument/2006/customXml" ds:itemID="{B9391D59-EB6D-4B99-9C88-67A6F3E416DB}">
  <ds:schemaRefs>
    <ds:schemaRef ds:uri="http://gemini/pivotcustomization/ClientWindowXML"/>
  </ds:schemaRefs>
</ds:datastoreItem>
</file>

<file path=customXml/itemProps11.xml><?xml version="1.0" encoding="utf-8"?>
<ds:datastoreItem xmlns:ds="http://schemas.openxmlformats.org/officeDocument/2006/customXml" ds:itemID="{8A286754-0058-4CF1-8A10-AB8B25DC83E9}">
  <ds:schemaRefs>
    <ds:schemaRef ds:uri="http://gemini/pivotcustomization/TableXML_Divisions0_c6b56462-a998-4e6b-93d1-248083211ee8"/>
  </ds:schemaRefs>
</ds:datastoreItem>
</file>

<file path=customXml/itemProps12.xml><?xml version="1.0" encoding="utf-8"?>
<ds:datastoreItem xmlns:ds="http://schemas.openxmlformats.org/officeDocument/2006/customXml" ds:itemID="{E8CA33EC-A294-463B-AE4C-64811F58A2AD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8613B5A4-C887-4F42-96F2-6217D46A4C78}">
  <ds:schemaRefs>
    <ds:schemaRef ds:uri="http://gemini/pivotcustomization/ManualCalcMode"/>
  </ds:schemaRefs>
</ds:datastoreItem>
</file>

<file path=customXml/itemProps14.xml><?xml version="1.0" encoding="utf-8"?>
<ds:datastoreItem xmlns:ds="http://schemas.openxmlformats.org/officeDocument/2006/customXml" ds:itemID="{7F5C7C28-CF44-4ED2-99E0-C72D5A7873ED}">
  <ds:schemaRefs>
    <ds:schemaRef ds:uri="http://gemini/pivotcustomization/TableXML_InitiativesOwners-b6fe9aa8-31c9-412e-97fa-e7846b08232d"/>
  </ds:schemaRefs>
</ds:datastoreItem>
</file>

<file path=customXml/itemProps15.xml><?xml version="1.0" encoding="utf-8"?>
<ds:datastoreItem xmlns:ds="http://schemas.openxmlformats.org/officeDocument/2006/customXml" ds:itemID="{8D6D7EBE-FCBC-42A0-9E9F-D2B5696A58C1}">
  <ds:schemaRefs>
    <ds:schemaRef ds:uri="http://gemini/pivotcustomization/TableXML_DocsTamkeen-dbde5288-fda5-4a9c-a87e-a64b8cd3e0c8"/>
  </ds:schemaRefs>
</ds:datastoreItem>
</file>

<file path=customXml/itemProps16.xml><?xml version="1.0" encoding="utf-8"?>
<ds:datastoreItem xmlns:ds="http://schemas.openxmlformats.org/officeDocument/2006/customXml" ds:itemID="{225189EA-5CE3-4E50-BB5D-8D7EE8E475B2}">
  <ds:schemaRefs>
    <ds:schemaRef ds:uri="http://gemini/pivotcustomization/IsSandboxEmbedded"/>
  </ds:schemaRefs>
</ds:datastoreItem>
</file>

<file path=customXml/itemProps17.xml><?xml version="1.0" encoding="utf-8"?>
<ds:datastoreItem xmlns:ds="http://schemas.openxmlformats.org/officeDocument/2006/customXml" ds:itemID="{FFC5D2D3-A83A-4F20-BF05-6A3E4F381BE2}">
  <ds:schemaRefs>
    <ds:schemaRef ds:uri="http://gemini/pivotcustomization/Diagrams"/>
  </ds:schemaRefs>
</ds:datastoreItem>
</file>

<file path=customXml/itemProps18.xml><?xml version="1.0" encoding="utf-8"?>
<ds:datastoreItem xmlns:ds="http://schemas.openxmlformats.org/officeDocument/2006/customXml" ds:itemID="{04F34065-BBED-4E05-814B-FF1159FC25C7}">
  <ds:schemaRefs>
    <ds:schemaRef ds:uri="http://gemini/pivotcustomization/LinkedTableUpdateMode"/>
  </ds:schemaRefs>
</ds:datastoreItem>
</file>

<file path=customXml/itemProps19.xml><?xml version="1.0" encoding="utf-8"?>
<ds:datastoreItem xmlns:ds="http://schemas.openxmlformats.org/officeDocument/2006/customXml" ds:itemID="{49C6350D-78C5-4118-BD6F-57683DE44AAC}">
  <ds:schemaRefs>
    <ds:schemaRef ds:uri="http://gemini/pivotcustomization/MeasureGridState"/>
  </ds:schemaRefs>
</ds:datastoreItem>
</file>

<file path=customXml/itemProps20.xml><?xml version="1.0" encoding="utf-8"?>
<ds:datastoreItem xmlns:ds="http://schemas.openxmlformats.org/officeDocument/2006/customXml" ds:itemID="{C2B2D89F-0584-479B-9097-A0DAC1462F9E}">
  <ds:schemaRefs>
    <ds:schemaRef ds:uri="http://gemini/pivotcustomization/ShowHidden"/>
  </ds:schemaRefs>
</ds:datastoreItem>
</file>

<file path=customXml/itemProps21.xml><?xml version="1.0" encoding="utf-8"?>
<ds:datastoreItem xmlns:ds="http://schemas.openxmlformats.org/officeDocument/2006/customXml" ds:itemID="{71913CD7-14D8-4C1D-A050-BD5AEDA9CB97}">
  <ds:schemaRefs>
    <ds:schemaRef ds:uri="http://gemini/pivotcustomization/TableOrder"/>
  </ds:schemaRefs>
</ds:datastoreItem>
</file>

<file path=customXml/itemProps22.xml><?xml version="1.0" encoding="utf-8"?>
<ds:datastoreItem xmlns:ds="http://schemas.openxmlformats.org/officeDocument/2006/customXml" ds:itemID="{35B82507-C632-4C43-A435-E51483B65E1D}">
  <ds:schemaRefs>
    <ds:schemaRef ds:uri="http://gemini/pivotcustomization/ShowImplicitMeasur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المرافق والمساجد</vt:lpstr>
      <vt:lpstr>مناطق ومدن السعودية</vt:lpstr>
      <vt:lpstr>مدخلات وبنود</vt:lpstr>
      <vt:lpstr>بيانات المرافق (للتفريغ والحذف)</vt:lpstr>
      <vt:lpstr>'المرافق والمساجد'!Print_Area</vt:lpstr>
      <vt:lpstr>'بيانات المرافق (للتفريغ والحذف)'!Print_Area</vt:lpstr>
      <vt:lpstr>'مدخلات وبنود'!Print_Area</vt:lpstr>
      <vt:lpstr>'مناطق ومدن السعودية'!Print_Area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 Khalid Maatouk</dc:creator>
  <cp:keywords/>
  <dc:description/>
  <cp:lastModifiedBy>emarah</cp:lastModifiedBy>
  <cp:revision/>
  <dcterms:created xsi:type="dcterms:W3CDTF">2016-12-05T05:14:59Z</dcterms:created>
  <dcterms:modified xsi:type="dcterms:W3CDTF">2026-08-04T08:18:52Z</dcterms:modified>
  <cp:category/>
  <cp:contentStatus/>
</cp:coreProperties>
</file>