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ohammad Sabri\Desktop\"/>
    </mc:Choice>
  </mc:AlternateContent>
  <xr:revisionPtr revIDLastSave="0" documentId="8_{DE0110B6-7754-4107-8679-9E36355524E3}" xr6:coauthVersionLast="47" xr6:coauthVersionMax="47" xr10:uidLastSave="{00000000-0000-0000-0000-000000000000}"/>
  <bookViews>
    <workbookView xWindow="-120" yWindow="-120" windowWidth="24240" windowHeight="13140" firstSheet="8" activeTab="11"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Waterfall!$A$1:$E$1</definedName>
    <definedName name="_xlchart.v1.1" hidden="1">Waterfall!$A$2:$E$2</definedName>
    <definedName name="Slicer_Region">#N/A</definedName>
  </definedNames>
  <calcPr calcId="191029"/>
  <pivotCaches>
    <pivotCache cacheId="4" r:id="rId16"/>
    <pivotCache cacheId="5"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9" l="1"/>
  <c r="E2" i="19"/>
  <c r="C2" i="19"/>
  <c r="B2" i="19"/>
  <c r="A2" i="19"/>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H2" i="11"/>
  <c r="I2" i="11" s="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<sst xmlns="http://schemas.openxmlformats.org/spreadsheetml/2006/main" count="22434" uniqueCount="127">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</sst>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1">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164" fontId="0" fillId="0" borderId="0" xfId="1" applyFont="1"/>
    <xf numFmtId="167" fontId="0" fillId="0" borderId="0" xfId="2" applyNumberFormat="1" applyFont="1"/>
    <xf numFmtId="167" fontId="0" fillId="0" borderId="0" xfId="0" applyNumberFormat="1"/>
    <xf numFmtId="168" fontId="0" fillId="0" borderId="0" xfId="0" applyNumberFormat="1"/>
    <xf numFmtId="169" fontId="0" fillId="0" borderId="0" xfId="1" applyNumberFormat="1" applyFont="1"/>
    <xf numFmtId="169" fontId="0" fillId="0" borderId="0" xfId="0" applyNumberForma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71"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5">
    <dxf>
      <numFmt numFmtId="13" formatCode="0%"/>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67" formatCode="_ * #,##0_ ;_ * \-#,##0_ ;_ * &quot;-&quot;??_ ;_ @_ "/>
    </dxf>
    <dxf>
      <numFmt numFmtId="13" formatCode="0%"/>
    </dxf>
    <dxf>
      <numFmt numFmtId="13" formatCode="0%"/>
    </dxf>
    <dxf>
      <numFmt numFmtId="14" formatCode="0.0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Market Analysis.xlsx]Market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[Cosmetics Market Analysis.xlsx]Promotion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904875</xdr:colOff>
      <xdr:row>11</xdr:row>
      <xdr:rowOff>166687</xdr:rowOff>
    </xdr:from>
    <xdr:to>
      <xdr:col>13</xdr:col>
      <xdr:colOff>466725</xdr:colOff>
      <xdr:row>27</xdr:row>
      <xdr:rowOff>52387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1056752</xdr:colOff>
      <xdr:row>4</xdr:row>
      <xdr:rowOff>1238</xdr:rowOff>
    </xdr:from>
    <xdr:to>
      <xdr:col>15</xdr:col>
      <xdr:colOff>523352</xdr:colOff>
      <xdr:row>30</xdr:row>
      <xdr:rowOff>129827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22505" y="784115"/>
              <a:ext cx="10413826" cy="5217287"/>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4">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73">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4">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3">
      <pivotArea outline="0" collapsedLevelsAreSubtotals="1" fieldPosition="0">
        <references count="1">
          <reference field="5" count="1" selected="0">
            <x v="4"/>
          </reference>
        </references>
      </pivotArea>
    </format>
    <format dxfId="42">
      <pivotArea outline="0" collapsedLevelsAreSubtotals="1"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5">
      <pivotArea outline="0" fieldPosition="0">
        <references count="1">
          <reference field="4294967294" count="1">
            <x v="0"/>
          </reference>
        </references>
      </pivotArea>
    </format>
    <format dxfId="44">
      <pivotArea outline="0" collapsedLevelsAreSubtotals="1" fieldPosition="0">
        <references count="1">
          <reference field="5" count="1" selected="0">
            <x v="4"/>
          </reference>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8">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5"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1">
      <pivotArea collapsedLevelsAreSubtotals="1" fieldPosition="0">
        <references count="1">
          <reference field="5" count="0"/>
        </references>
      </pivotArea>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2"/>
    <tableColumn id="2" xr3:uid="{E62B3F1F-9A15-44B4-B1DD-CAF27CF3C747}" name="Subcategory" dataDxfId="71"/>
    <tableColumn id="3" xr3:uid="{FA4BBA42-4CD5-4FEC-99C8-F3DEA363596F}" name="Supplier" dataDxfId="70"/>
    <tableColumn id="4" xr3:uid="{363950AD-92F1-4B62-BAD5-6C6ED9D314C8}" name="Brand" dataDxfId="69"/>
    <tableColumn id="5" xr3:uid="{278D3098-9E4F-422C-8E1A-9941BBC3EF43}" name="Region" dataDxfId="68"/>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7"/>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6"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5">
      <calculatedColumnFormula>dataset_shampoo[[#This Row],[Values YTD]]+SUMIFS(I:I,D:D,dataset_shampoo[[#This Row],[Brand]],E:E,dataset_shampoo[[#This Row],[Region]],F:F,dataset_shampoo[[#This Row],[Year]]-1,G:G,"&gt;"&amp;dataset_shampoo[[#This Row],[Month]])</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3"/>
    <tableColumn id="2" xr3:uid="{025C4312-31D3-409B-B984-DBF4AEFE2FA6}" name="Product" dataDxfId="62"/>
    <tableColumn id="3" xr3:uid="{D40B8F72-DA12-4584-B326-495AA00C251F}" name="Pack Size (ml)"/>
    <tableColumn id="4" xr3:uid="{E106DA15-1281-4518-AE4A-C358C1924FEA}" name="ProductID" dataDxfId="61"/>
    <tableColumn id="5" xr3:uid="{AE844CDE-AAF3-4312-96B5-E0534EF567F3}" name="Retail Price" dataDxfId="60" totalsRowDxfId="59" dataCellStyle="Currency"/>
    <tableColumn id="6" xr3:uid="{732BB0A7-0D20-404F-B2AF-EC6A28C2A71A}" name="Net Price" dataDxfId="58" totalsRowDxfId="57" dataCellStyle="Currency"/>
    <tableColumn id="7" xr3:uid="{BB7F7A5B-FAB9-4038-AD33-08EE0D4766AD}" name="COGS" dataDxfId="56" totalsRowDxfId="55" dataCellStyle="Currency"/>
    <tableColumn id="8" xr3:uid="{CCF364DE-01EF-4200-AB41-ED9058D076B5}" name="Volume 2022" totalsRowFunction="sum" dataDxfId="54" totalsRowDxfId="53" dataCellStyle="Comma"/>
    <tableColumn id="10" xr3:uid="{08E3A2F7-3C74-49D9-91B9-79AD4050A4A7}" name="Net Sales 2022" totalsRowFunction="sum" dataDxfId="52" totalsRowDxfId="51" dataCellStyle="Currency">
      <calculatedColumnFormula>internal_sales_data[[#This Row],[Volume 2022]]*internal_sales_data[[#This Row],[Net Price]]</calculatedColumnFormula>
    </tableColumn>
    <tableColumn id="9" xr3:uid="{3C283A83-C2B7-4006-B2BA-AFEDB11C31BE}" name="Gross Profit per unit" dataDxfId="50" totalsRowDxfId="49" dataCellStyle="Currency">
      <calculatedColumnFormula>internal_sales_data[[#This Row],[Net Price]]-internal_sales_data[[#This Row],[COGS]]</calculatedColumnFormula>
    </tableColumn>
    <tableColumn id="11" xr3:uid="{7C588C62-85DC-41E9-81C4-648DF71F5B17}" name="Gross Profit per product" totalsRowFunction="sum" dataDxfId="48" totalsRowDxfId="47"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6"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1"/>
    <tableColumn id="2" xr3:uid="{6AE352D5-6C16-4164-8AC0-45FA1FF286BF}" name="Estimated Unit Market Share" dataCellStyle="Percent"/>
    <tableColumn id="3" xr3:uid="{31AA58DE-DB16-4AD7-9EE2-3FBD593D8486}" name="Estimated units sold 2024" dataDxfId="40" dataCellStyle="Comma">
      <calculatedColumnFormula>new_product_launch[[#This Row],[Estimated Unit Market Share]]*'New Category Opportunity'!$B$18</calculatedColumnFormula>
    </tableColumn>
    <tableColumn id="4" xr3:uid="{983BA861-9FD5-40BD-BAD6-5572FA3B9563}" name="Net Price" dataDxfId="39"/>
    <tableColumn id="5" xr3:uid="{8197C623-3CF8-4E81-AD27-88ADB9A58EE4}" name="Net Sales" dataDxfId="38">
      <calculatedColumnFormula>new_product_launch[[#This Row],[Net Price]]*new_product_launch[[#This Row],[Estimated units sold 2024]]</calculatedColumnFormula>
    </tableColumn>
    <tableColumn id="6" xr3:uid="{0813BA88-04DC-44D1-BBDD-F8260333BD3F}" name="COGS" dataDxfId="37"/>
    <tableColumn id="7" xr3:uid="{0BDC181A-386D-45F3-8640-F0B86C17865D}" name="Gross Profit per unit" dataDxfId="36">
      <calculatedColumnFormula>new_product_launch[[#This Row],[Net Price]]-new_product_launch[[#This Row],[COGS]]</calculatedColumnFormula>
    </tableColumn>
    <tableColumn id="8" xr3:uid="{C9FE25C5-9CBC-4262-8F58-9FAD1AFE1F38}" name="Gross Profit per product" dataDxfId="35" dataCellStyle="Comma">
      <calculatedColumnFormula>new_product_launch[[#This Row],[Gross Profit per unit]]*new_product_launch[[#This Row],[Estimated units sold 2024]]</calculatedColumnFormula>
    </tableColumn>
    <tableColumn id="9" xr3:uid="{7B898487-076D-4DC9-AC86-FE42D0850365}" name="Gross Margin" dataDxfId="34">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3"/>
    <tableColumn id="2" xr3:uid="{FAE7BF1E-D3B2-4767-B266-2B8270F3696C}" name="Product" dataDxfId="32"/>
    <tableColumn id="3" xr3:uid="{5A2D09FD-4038-4B54-B533-EFDB32DD1546}" name="Pack Size (ml)"/>
    <tableColumn id="4" xr3:uid="{B6E0B462-3954-414F-96BC-4A9A1E45F237}" name="ProductID" dataDxfId="31"/>
    <tableColumn id="5" xr3:uid="{A6C19464-69C2-4CF6-86FD-2DFC3C8BE682}" name="Retail Price" dataDxfId="30" totalsRowDxfId="29" dataCellStyle="Currency"/>
    <tableColumn id="6" xr3:uid="{F8166C40-CCF9-4D5A-991F-14A3DDE3FC7F}" name="Net Price" dataDxfId="28" totalsRowDxfId="27" dataCellStyle="Currency"/>
    <tableColumn id="7" xr3:uid="{9860B665-293D-4A43-A98E-0AAA70D26C13}" name="COGS" dataDxfId="26" totalsRowDxfId="25" dataCellStyle="Currency"/>
    <tableColumn id="8" xr3:uid="{683E31B5-9570-4041-8F3B-F7C43CD93243}" name="Volume 2022" totalsRowFunction="sum" dataDxfId="24" totalsRowDxfId="23" dataCellStyle="Comma"/>
    <tableColumn id="10" xr3:uid="{17710796-45DE-498A-B84A-F197DA71F214}" name="Net Sales 2022" totalsRowFunction="sum" dataDxfId="22" totalsRowDxfId="21" dataCellStyle="Currency">
      <calculatedColumnFormula>internal_sales_data5[[#This Row],[Volume 2022]]*internal_sales_data5[[#This Row],[Net Price]]</calculatedColumnFormula>
    </tableColumn>
    <tableColumn id="9" xr3:uid="{5DE58021-15DC-4013-86B1-6FE9C31F7787}" name="Gross Profit per unit" dataDxfId="20" totalsRowDxfId="19" dataCellStyle="Currency">
      <calculatedColumnFormula>internal_sales_data5[[#This Row],[Net Price]]-internal_sales_data5[[#This Row],[COGS]]</calculatedColumnFormula>
    </tableColumn>
    <tableColumn id="11" xr3:uid="{6BF3B56E-CE08-4DFA-AE34-BC12278250B4}" name="Gross Profit per product" totalsRowFunction="sum" dataDxfId="18" totalsRowDxfId="17"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6"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5"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4"/>
    <tableColumn id="3" xr3:uid="{2A121CD1-C0E3-4918-8551-814ACE7E3314}" name="Brand" dataDxfId="13"/>
    <tableColumn id="4" xr3:uid="{7543C383-8A02-4E74-AF99-92F550588F68}" name="Year"/>
    <tableColumn id="5" xr3:uid="{9E3981BC-C16F-410F-81E4-31419BE928F1}" name="Month"/>
    <tableColumn id="6" xr3:uid="{C0D21506-6E1F-4EA8-BD50-1AFB904058ED}" name="Value sales" dataDxfId="12" dataCellStyle="Currency"/>
    <tableColumn id="7" xr3:uid="{2FEECA98-4730-450F-AF86-23140A025659}" name="Baseline sales " dataDxfId="11" dataCellStyle="Currency"/>
    <tableColumn id="8" xr3:uid="{9DF34B1D-A2FE-45E8-91E8-847DD06125C7}" name="Uplift" dataDxfId="10" dataCellStyle="Currency"/>
    <tableColumn id="11" xr3:uid="{A4B2B49D-215C-42E9-97A0-9B114D4F2383}" name="Cost" dataDxfId="9"/>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7"/>
    <tableColumn id="3" xr3:uid="{A3753415-934C-4D1D-A65D-4F5A8F2AE664}" name="Forecast" dataDxfId="6"/>
    <tableColumn id="4" xr3:uid="{87AF29BB-3B9B-48E1-AF86-C6520DE1890C}" name="Lower Confidence Bound" dataDxfId="5"/>
    <tableColumn id="5" xr3:uid="{517108CD-F72A-4B89-A961-C1493DECB118}" name="Upper Confidence Bound" dataDxfId="4"/>
    <tableColumn id="6" xr3:uid="{56237CD3-AD63-4186-A266-A3B7AE3CF470}" name="Net Sales" dataDxfId="3"/>
    <tableColumn id="7" xr3:uid="{49BA4978-1D1E-40F2-BFD3-E9344BD49738}" name="Ratio" dataDxfId="2"/>
  </tableColumns>
  <tableStyleInfo name="TableStyleMedium14"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 sqref="A4"/>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D4" sqref="D4:D10"/>
      <pivotSelection pane="bottomRight" showHeader="1" extendable="1" axis="axisCol" start="2" max="3" activeRow="3" activeCol="3" previousRow="3" previousCol="3" click="1" r:id="rId1">
        <pivotArea dataOnly="0" grandCol="1" outline="0" fieldPosition="0">
          <references count="1">
            <reference field="2" count="1" selected="0">
              <x v="8"/>
            </reference>
          </references>
        </pivotArea>
      </pivotSelection>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B2" sqref="B2"/>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H4" sqref="H4"/>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H1" sqref="H1"/>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6" t="s">
        <v>58</v>
      </c>
      <c r="B17" s="17">
        <v>0.64285714285714279</v>
      </c>
      <c r="C17" s="17">
        <v>0.64864864864864868</v>
      </c>
      <c r="D17" s="17">
        <v>0.65714285714285714</v>
      </c>
      <c r="E17" s="17">
        <v>0.67142857142857149</v>
      </c>
      <c r="F17" s="17">
        <v>0.67241379310344829</v>
      </c>
      <c r="G17" s="17">
        <v>0.69411764705882362</v>
      </c>
      <c r="H17" s="17">
        <v>0.7</v>
      </c>
      <c r="I17" s="17">
        <v>0.70588235294117641</v>
      </c>
      <c r="J17" s="17">
        <v>0.70967741935483875</v>
      </c>
      <c r="K17" s="17">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92</v>
      </c>
    </row>
    <row r="2" spans="1:13" x14ac:dyDescent="0.25">
      <c r="A2" t="s">
        <v>57</v>
      </c>
      <c r="B2" t="s">
        <v>75</v>
      </c>
      <c r="C2">
        <v>100</v>
      </c>
      <c r="D2" t="s">
        <v>76</v>
      </c>
      <c r="E2" s="12">
        <v>5</v>
      </c>
      <c r="F2" s="12">
        <v>3.1</v>
      </c>
      <c r="G2" s="12">
        <v>0.9</v>
      </c>
      <c r="H2" s="9">
        <v>1156348</v>
      </c>
      <c r="I2" s="6">
        <f>internal_sales_data[[#This Row],[Volume 2022]]*internal_sales_data[[#This Row],[Net Price]]</f>
        <v>3584678.8000000003</v>
      </c>
      <c r="J2" s="12">
        <f>internal_sales_data[[#This Row],[Net Price]]-internal_sales_data[[#This Row],[COGS]]</f>
        <v>2.2000000000000002</v>
      </c>
      <c r="K2" s="6">
        <f>internal_sales_data[[#This Row],[Gross Profit per unit]]*internal_sales_data[[#This Row],[Volume 2022]]</f>
        <v>2543965.6</v>
      </c>
      <c r="L2" s="14">
        <f>internal_sales_data[[#This Row],[Gross Profit per unit]]/internal_sales_data[[#This Row],[Net Price]]</f>
        <v>0.70967741935483875</v>
      </c>
      <c r="M2" s="14">
        <f>internal_sales_data[[#This Row],[Net Sales 2022]]/internal_sales_data[[#Totals],[Net Sales 2022]]</f>
        <v>0.17502703482289086</v>
      </c>
    </row>
    <row r="3" spans="1:13" x14ac:dyDescent="0.25">
      <c r="A3" t="s">
        <v>57</v>
      </c>
      <c r="B3" t="s">
        <v>77</v>
      </c>
      <c r="C3">
        <v>100</v>
      </c>
      <c r="D3" t="s">
        <v>78</v>
      </c>
      <c r="E3" s="12">
        <v>5</v>
      </c>
      <c r="F3" s="12">
        <v>2.9</v>
      </c>
      <c r="G3" s="12">
        <v>0.95</v>
      </c>
      <c r="H3" s="9">
        <v>693809</v>
      </c>
      <c r="I3" s="6">
        <f>internal_sales_data[[#This Row],[Volume 2022]]*internal_sales_data[[#This Row],[Net Price]]</f>
        <v>2012046.0999999999</v>
      </c>
      <c r="J3" s="12">
        <f>internal_sales_data[[#This Row],[Net Price]]-internal_sales_data[[#This Row],[COGS]]</f>
        <v>1.95</v>
      </c>
      <c r="K3" s="6">
        <f>internal_sales_data[[#This Row],[Gross Profit per unit]]*internal_sales_data[[#This Row],[Volume 2022]]</f>
        <v>1352927.55</v>
      </c>
      <c r="L3" s="14">
        <f>internal_sales_data[[#This Row],[Gross Profit per unit]]/internal_sales_data[[#This Row],[Net Price]]</f>
        <v>0.67241379310344829</v>
      </c>
      <c r="M3" s="14">
        <f>internal_sales_data[[#This Row],[Net Sales 2022]]/internal_sales_data[[#Totals],[Net Sales 2022]]</f>
        <v>9.8241009155398171E-2</v>
      </c>
    </row>
    <row r="4" spans="1:13" x14ac:dyDescent="0.25">
      <c r="A4" t="s">
        <v>57</v>
      </c>
      <c r="B4" t="s">
        <v>79</v>
      </c>
      <c r="C4">
        <v>100</v>
      </c>
      <c r="D4" t="s">
        <v>80</v>
      </c>
      <c r="E4" s="12">
        <v>5</v>
      </c>
      <c r="F4" s="12">
        <v>2.8</v>
      </c>
      <c r="G4" s="12">
        <v>1</v>
      </c>
      <c r="H4" s="9">
        <v>346904</v>
      </c>
      <c r="I4" s="6">
        <f>internal_sales_data[[#This Row],[Volume 2022]]*internal_sales_data[[#This Row],[Net Price]]</f>
        <v>971331.2</v>
      </c>
      <c r="J4" s="12">
        <f>internal_sales_data[[#This Row],[Net Price]]-internal_sales_data[[#This Row],[COGS]]</f>
        <v>1.7999999999999998</v>
      </c>
      <c r="K4" s="6">
        <f>internal_sales_data[[#This Row],[Gross Profit per unit]]*internal_sales_data[[#This Row],[Volume 2022]]</f>
        <v>624427.19999999995</v>
      </c>
      <c r="L4" s="14">
        <f>internal_sales_data[[#This Row],[Gross Profit per unit]]/internal_sales_data[[#This Row],[Net Price]]</f>
        <v>0.64285714285714279</v>
      </c>
      <c r="M4" s="14">
        <f>internal_sales_data[[#This Row],[Net Sales 2022]]/internal_sales_data[[#Totals],[Net Sales 2022]]</f>
        <v>4.7426625718030961E-2</v>
      </c>
    </row>
    <row r="5" spans="1:13" x14ac:dyDescent="0.25">
      <c r="A5" t="s">
        <v>57</v>
      </c>
      <c r="B5" t="s">
        <v>75</v>
      </c>
      <c r="C5">
        <v>150</v>
      </c>
      <c r="D5" t="s">
        <v>81</v>
      </c>
      <c r="E5" s="12">
        <v>7</v>
      </c>
      <c r="F5" s="12">
        <v>3.5</v>
      </c>
      <c r="G5" s="12">
        <v>1.2</v>
      </c>
      <c r="H5" s="9">
        <v>693809</v>
      </c>
      <c r="I5" s="6">
        <f>internal_sales_data[[#This Row],[Volume 2022]]*internal_sales_data[[#This Row],[Net Price]]</f>
        <v>2428331.5</v>
      </c>
      <c r="J5" s="12">
        <f>internal_sales_data[[#This Row],[Net Price]]-internal_sales_data[[#This Row],[COGS]]</f>
        <v>2.2999999999999998</v>
      </c>
      <c r="K5" s="6">
        <f>internal_sales_data[[#This Row],[Gross Profit per unit]]*internal_sales_data[[#This Row],[Volume 2022]]</f>
        <v>1595760.7</v>
      </c>
      <c r="L5" s="14">
        <f>internal_sales_data[[#This Row],[Gross Profit per unit]]/internal_sales_data[[#This Row],[Net Price]]</f>
        <v>0.65714285714285714</v>
      </c>
      <c r="M5" s="14">
        <f>internal_sales_data[[#This Row],[Net Sales 2022]]/internal_sales_data[[#Totals],[Net Sales 2022]]</f>
        <v>0.11856673518754952</v>
      </c>
    </row>
    <row r="6" spans="1:13" x14ac:dyDescent="0.25">
      <c r="A6" t="s">
        <v>57</v>
      </c>
      <c r="B6" t="s">
        <v>79</v>
      </c>
      <c r="C6">
        <v>150</v>
      </c>
      <c r="D6" t="s">
        <v>82</v>
      </c>
      <c r="E6" s="12">
        <v>7.25</v>
      </c>
      <c r="F6" s="12">
        <v>3.7</v>
      </c>
      <c r="G6" s="12">
        <v>1.3</v>
      </c>
      <c r="H6" s="9">
        <v>231270</v>
      </c>
      <c r="I6" s="6">
        <f>internal_sales_data[[#This Row],[Volume 2022]]*internal_sales_data[[#This Row],[Net Price]]</f>
        <v>855699</v>
      </c>
      <c r="J6" s="12">
        <f>internal_sales_data[[#This Row],[Net Price]]-internal_sales_data[[#This Row],[COGS]]</f>
        <v>2.4000000000000004</v>
      </c>
      <c r="K6" s="6">
        <f>internal_sales_data[[#This Row],[Gross Profit per unit]]*internal_sales_data[[#This Row],[Volume 2022]]</f>
        <v>555048.00000000012</v>
      </c>
      <c r="L6" s="14">
        <f>internal_sales_data[[#This Row],[Gross Profit per unit]]/internal_sales_data[[#This Row],[Net Price]]</f>
        <v>0.64864864864864868</v>
      </c>
      <c r="M6" s="14">
        <f>internal_sales_data[[#This Row],[Net Sales 2022]]/internal_sales_data[[#Totals],[Net Sales 2022]]</f>
        <v>4.178071928534096E-2</v>
      </c>
    </row>
    <row r="7" spans="1:13" x14ac:dyDescent="0.25">
      <c r="A7" t="s">
        <v>57</v>
      </c>
      <c r="B7" t="s">
        <v>75</v>
      </c>
      <c r="C7">
        <v>200</v>
      </c>
      <c r="D7" t="s">
        <v>83</v>
      </c>
      <c r="E7" s="12">
        <v>9</v>
      </c>
      <c r="F7" s="12">
        <v>5</v>
      </c>
      <c r="G7" s="12">
        <v>1.5</v>
      </c>
      <c r="H7" s="9">
        <v>289087</v>
      </c>
      <c r="I7" s="6">
        <f>internal_sales_data[[#This Row],[Volume 2022]]*internal_sales_data[[#This Row],[Net Price]]</f>
        <v>1445435</v>
      </c>
      <c r="J7" s="12">
        <f>internal_sales_data[[#This Row],[Net Price]]-internal_sales_data[[#This Row],[COGS]]</f>
        <v>3.5</v>
      </c>
      <c r="K7" s="6">
        <f>internal_sales_data[[#This Row],[Gross Profit per unit]]*internal_sales_data[[#This Row],[Volume 2022]]</f>
        <v>1011804.5</v>
      </c>
      <c r="L7" s="14">
        <f>internal_sales_data[[#This Row],[Gross Profit per unit]]/internal_sales_data[[#This Row],[Net Price]]</f>
        <v>0.7</v>
      </c>
      <c r="M7" s="14">
        <f>internal_sales_data[[#This Row],[Net Sales 2022]]/internal_sales_data[[#Totals],[Net Sales 2022]]</f>
        <v>7.0575417267294702E-2</v>
      </c>
    </row>
    <row r="8" spans="1:13" x14ac:dyDescent="0.25">
      <c r="A8" t="s">
        <v>22</v>
      </c>
      <c r="B8" t="s">
        <v>84</v>
      </c>
      <c r="C8">
        <v>100</v>
      </c>
      <c r="D8" t="s">
        <v>85</v>
      </c>
      <c r="E8" s="12">
        <v>6</v>
      </c>
      <c r="F8" s="12">
        <v>3.5</v>
      </c>
      <c r="G8" s="12">
        <v>1.1499999999999999</v>
      </c>
      <c r="H8" s="9">
        <v>1089532</v>
      </c>
      <c r="I8" s="6">
        <f>internal_sales_data[[#This Row],[Volume 2022]]*internal_sales_data[[#This Row],[Net Price]]</f>
        <v>3813362</v>
      </c>
      <c r="J8" s="12">
        <f>internal_sales_data[[#This Row],[Net Price]]-internal_sales_data[[#This Row],[COGS]]</f>
        <v>2.35</v>
      </c>
      <c r="K8" s="6">
        <f>internal_sales_data[[#This Row],[Gross Profit per unit]]*internal_sales_data[[#This Row],[Volume 2022]]</f>
        <v>2560400.2000000002</v>
      </c>
      <c r="L8" s="14">
        <f>internal_sales_data[[#This Row],[Gross Profit per unit]]/internal_sales_data[[#This Row],[Net Price]]</f>
        <v>0.67142857142857149</v>
      </c>
      <c r="M8" s="14">
        <f>internal_sales_data[[#This Row],[Net Sales 2022]]/internal_sales_data[[#Totals],[Net Sales 2022]]</f>
        <v>0.18619281693140505</v>
      </c>
    </row>
    <row r="9" spans="1:13" x14ac:dyDescent="0.25">
      <c r="A9" t="s">
        <v>22</v>
      </c>
      <c r="B9" t="s">
        <v>84</v>
      </c>
      <c r="C9">
        <v>125</v>
      </c>
      <c r="D9" t="s">
        <v>86</v>
      </c>
      <c r="E9" s="12">
        <v>7</v>
      </c>
      <c r="F9" s="12">
        <v>4.25</v>
      </c>
      <c r="G9" s="12">
        <v>1.3</v>
      </c>
      <c r="H9" s="9">
        <v>466942</v>
      </c>
      <c r="I9" s="6">
        <f>internal_sales_data[[#This Row],[Volume 2022]]*internal_sales_data[[#This Row],[Net Price]]</f>
        <v>1984503.5</v>
      </c>
      <c r="J9" s="12">
        <f>internal_sales_data[[#This Row],[Net Price]]-internal_sales_data[[#This Row],[COGS]]</f>
        <v>2.95</v>
      </c>
      <c r="K9" s="6">
        <f>internal_sales_data[[#This Row],[Gross Profit per unit]]*internal_sales_data[[#This Row],[Volume 2022]]</f>
        <v>1377478.9000000001</v>
      </c>
      <c r="L9" s="14">
        <f>internal_sales_data[[#This Row],[Gross Profit per unit]]/internal_sales_data[[#This Row],[Net Price]]</f>
        <v>0.69411764705882362</v>
      </c>
      <c r="M9" s="14">
        <f>internal_sales_data[[#This Row],[Net Sales 2022]]/internal_sales_data[[#Totals],[Net Sales 2022]]</f>
        <v>9.6896202583240873E-2</v>
      </c>
    </row>
    <row r="10" spans="1:13" x14ac:dyDescent="0.25">
      <c r="A10" t="s">
        <v>22</v>
      </c>
      <c r="B10" t="s">
        <v>84</v>
      </c>
      <c r="C10">
        <v>150</v>
      </c>
      <c r="D10" t="s">
        <v>87</v>
      </c>
      <c r="E10" s="12">
        <v>8</v>
      </c>
      <c r="F10" s="12">
        <v>5.0999999999999996</v>
      </c>
      <c r="G10" s="12">
        <v>1.5</v>
      </c>
      <c r="H10" s="9">
        <v>389118</v>
      </c>
      <c r="I10" s="6">
        <f>internal_sales_data[[#This Row],[Volume 2022]]*internal_sales_data[[#This Row],[Net Price]]</f>
        <v>1984501.7999999998</v>
      </c>
      <c r="J10" s="12">
        <f>internal_sales_data[[#This Row],[Net Price]]-internal_sales_data[[#This Row],[COGS]]</f>
        <v>3.5999999999999996</v>
      </c>
      <c r="K10" s="6">
        <f>internal_sales_data[[#This Row],[Gross Profit per unit]]*internal_sales_data[[#This Row],[Volume 2022]]</f>
        <v>1400824.7999999998</v>
      </c>
      <c r="L10" s="14">
        <f>internal_sales_data[[#This Row],[Gross Profit per unit]]/internal_sales_data[[#This Row],[Net Price]]</f>
        <v>0.70588235294117641</v>
      </c>
      <c r="M10" s="14">
        <f>internal_sales_data[[#This Row],[Net Sales 2022]]/internal_sales_data[[#Totals],[Net Sales 2022]]</f>
        <v>9.6896119578325834E-2</v>
      </c>
    </row>
    <row r="11" spans="1:13" x14ac:dyDescent="0.25">
      <c r="A11" t="s">
        <v>22</v>
      </c>
      <c r="B11" t="s">
        <v>84</v>
      </c>
      <c r="C11">
        <v>200</v>
      </c>
      <c r="D11" t="s">
        <v>88</v>
      </c>
      <c r="E11" s="12">
        <v>10</v>
      </c>
      <c r="F11" s="12">
        <v>6</v>
      </c>
      <c r="G11" s="12">
        <v>1.7</v>
      </c>
      <c r="H11" s="9">
        <v>233471</v>
      </c>
      <c r="I11" s="6">
        <f>internal_sales_data[[#This Row],[Volume 2022]]*internal_sales_data[[#This Row],[Net Price]]</f>
        <v>1400826</v>
      </c>
      <c r="J11" s="12">
        <f>internal_sales_data[[#This Row],[Net Price]]-internal_sales_data[[#This Row],[COGS]]</f>
        <v>4.3</v>
      </c>
      <c r="K11" s="6">
        <f>internal_sales_data[[#This Row],[Gross Profit per unit]]*internal_sales_data[[#This Row],[Volume 2022]]</f>
        <v>1003925.2999999999</v>
      </c>
      <c r="L11" s="14">
        <f>internal_sales_data[[#This Row],[Gross Profit per unit]]/internal_sales_data[[#This Row],[Net Price]]</f>
        <v>0.71666666666666667</v>
      </c>
      <c r="M11" s="14">
        <f>internal_sales_data[[#This Row],[Net Sales 2022]]/internal_sales_data[[#Totals],[Net Sales 2022]]</f>
        <v>6.8397319470522966E-2</v>
      </c>
    </row>
    <row r="12" spans="1:13" x14ac:dyDescent="0.25">
      <c r="A12" t="s">
        <v>89</v>
      </c>
      <c r="E12"/>
      <c r="F12"/>
      <c r="G12"/>
      <c r="H12" s="10">
        <f>SUBTOTAL(109,internal_sales_data[Volume 2022])</f>
        <v>5590290</v>
      </c>
      <c r="I12" s="1">
        <f>SUBTOTAL(109,internal_sales_data[Net Sales 2022])</f>
        <v>20480714.900000002</v>
      </c>
      <c r="J12" s="13"/>
      <c r="K12" s="1">
        <f>SUBTOTAL(109,internal_sales_data[Gross Profit per product])</f>
        <v>14026562.75</v>
      </c>
      <c r="L12" s="15">
        <f>internal_sales_data[[#Totals],[Gross Profit per product]]/internal_sales_data[[#Totals],[Net Sales 2022]]</f>
        <v>0.68486685247495915</v>
      </c>
    </row>
    <row r="13" spans="1:13" x14ac:dyDescent="0.25">
      <c r="I13" s="11"/>
    </row>
    <row r="23" spans="9:9" x14ac:dyDescent="0.25">
      <c r="I2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2" sqref="B12"/>
    </sheetView>
  </sheetViews>
  <sheetFormatPr defaultRowHeight="15" x14ac:dyDescent="0.25"/>
  <cols>
    <col min="1" max="1" width="13.140625" bestFit="1" customWidth="1"/>
    <col min="2" max="2" width="17"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8" spans="1:2" x14ac:dyDescent="0.25">
      <c r="A18" t="s">
        <v>96</v>
      </c>
      <c r="B18" s="9">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workbookViewId="0">
      <selection activeCell="A2" sqref="A2:A3"/>
    </sheetView>
  </sheetViews>
  <sheetFormatPr defaultRowHeight="15" x14ac:dyDescent="0.25"/>
  <cols>
    <col min="1" max="1" width="10.140625" bestFit="1" customWidth="1"/>
    <col min="2" max="2" width="29.28515625" bestFit="1" customWidth="1"/>
    <col min="3" max="3" width="26" bestFit="1" customWidth="1"/>
    <col min="4" max="4" width="11.42578125" bestFit="1" customWidth="1"/>
    <col min="5" max="5" width="12.28515625" bestFit="1" customWidth="1"/>
    <col min="6" max="6" width="8.28515625" bestFit="1" customWidth="1"/>
    <col min="7" max="7" width="21.42578125" bestFit="1" customWidth="1"/>
    <col min="8" max="8" width="24.85546875" bestFit="1" customWidth="1"/>
    <col min="9" max="9" width="15" bestFit="1" customWidth="1"/>
  </cols>
  <sheetData>
    <row r="1" spans="1:9" x14ac:dyDescent="0.25">
      <c r="A1" t="s">
        <v>68</v>
      </c>
      <c r="B1" t="s">
        <v>99</v>
      </c>
      <c r="C1" t="s">
        <v>100</v>
      </c>
      <c r="D1" t="s">
        <v>72</v>
      </c>
      <c r="E1" t="s">
        <v>101</v>
      </c>
      <c r="F1" t="s">
        <v>73</v>
      </c>
      <c r="G1" t="s">
        <v>94</v>
      </c>
      <c r="H1" t="s">
        <v>90</v>
      </c>
      <c r="I1" t="s">
        <v>91</v>
      </c>
    </row>
    <row r="2" spans="1:9" x14ac:dyDescent="0.25">
      <c r="A2" t="s">
        <v>124</v>
      </c>
      <c r="B2" s="14">
        <v>0.1</v>
      </c>
      <c r="C2" s="9">
        <f>new_product_launch[[#This Row],[Estimated Unit Market Share]]*'New Category Opportunity'!$B$18</f>
        <v>102089.88</v>
      </c>
      <c r="D2" s="13">
        <v>3.5</v>
      </c>
      <c r="E2" s="1">
        <f>new_product_launch[[#This Row],[Net Price]]*new_product_launch[[#This Row],[Estimated units sold 2024]]</f>
        <v>357314.58</v>
      </c>
      <c r="F2" s="13">
        <v>1.35</v>
      </c>
      <c r="G2" s="13">
        <f>new_product_launch[[#This Row],[Net Price]]-new_product_launch[[#This Row],[COGS]]</f>
        <v>2.15</v>
      </c>
      <c r="H2" s="9">
        <f>new_product_launch[[#This Row],[Gross Profit per unit]]*new_product_launch[[#This Row],[Estimated units sold 2024]]</f>
        <v>219493.242</v>
      </c>
      <c r="I2" s="14">
        <f>new_product_launch[[#This Row],[Gross Profit per product]]/new_product_launch[[#This Row],[Net Sales]]</f>
        <v>0.61428571428571421</v>
      </c>
    </row>
    <row r="3" spans="1:9" x14ac:dyDescent="0.25">
      <c r="A3" t="s">
        <v>125</v>
      </c>
      <c r="B3" s="14">
        <v>0.12</v>
      </c>
      <c r="C3" s="9">
        <f>new_product_launch[[#This Row],[Estimated Unit Market Share]]*'New Category Opportunity'!$B$18</f>
        <v>122507.85599999999</v>
      </c>
      <c r="D3" s="13">
        <v>2.75</v>
      </c>
      <c r="E3" s="1">
        <f>new_product_launch[[#This Row],[Net Price]]*new_product_launch[[#This Row],[Estimated units sold 2024]]</f>
        <v>336896.60399999993</v>
      </c>
      <c r="F3" s="13">
        <v>0.9</v>
      </c>
      <c r="G3" s="13">
        <f>new_product_launch[[#This Row],[Net Price]]-new_product_launch[[#This Row],[COGS]]</f>
        <v>1.85</v>
      </c>
      <c r="H3" s="9">
        <f>new_product_launch[[#This Row],[Gross Profit per unit]]*new_product_launch[[#This Row],[Estimated units sold 2024]]</f>
        <v>226639.5336</v>
      </c>
      <c r="I3" s="14">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topLeftCell="D1" workbookViewId="0">
      <selection activeCell="I12" sqref="I1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8" bestFit="1" customWidth="1"/>
    <col min="6" max="6" width="12.28515625" style="8" bestFit="1" customWidth="1"/>
    <col min="7" max="7" width="9.140625" style="8" bestFit="1" customWidth="1"/>
    <col min="8" max="8" width="15.7109375" style="9"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8" t="s">
        <v>71</v>
      </c>
      <c r="F1" s="8" t="s">
        <v>72</v>
      </c>
      <c r="G1" s="8" t="s">
        <v>73</v>
      </c>
      <c r="H1" s="9" t="s">
        <v>74</v>
      </c>
      <c r="I1" t="s">
        <v>120</v>
      </c>
      <c r="J1" t="s">
        <v>94</v>
      </c>
      <c r="K1" t="s">
        <v>90</v>
      </c>
      <c r="L1" t="s">
        <v>91</v>
      </c>
      <c r="M1" t="s">
        <v>102</v>
      </c>
    </row>
    <row r="2" spans="1:13" x14ac:dyDescent="0.25">
      <c r="A2" t="s">
        <v>57</v>
      </c>
      <c r="B2" t="s">
        <v>75</v>
      </c>
      <c r="C2">
        <v>100</v>
      </c>
      <c r="D2" t="s">
        <v>76</v>
      </c>
      <c r="E2" s="12">
        <v>5</v>
      </c>
      <c r="F2" s="12">
        <v>3.1</v>
      </c>
      <c r="G2" s="12">
        <v>0.9</v>
      </c>
      <c r="H2" s="9">
        <v>1156348</v>
      </c>
      <c r="I2" s="6">
        <f>internal_sales_data5[[#This Row],[Volume 2022]]*internal_sales_data5[[#This Row],[Net Price]]</f>
        <v>3584678.8000000003</v>
      </c>
      <c r="J2" s="12">
        <f>internal_sales_data5[[#This Row],[Net Price]]-internal_sales_data5[[#This Row],[COGS]]</f>
        <v>2.2000000000000002</v>
      </c>
      <c r="K2" s="6">
        <f>internal_sales_data5[[#This Row],[Gross Profit per unit]]*internal_sales_data5[[#This Row],[Volume 2022]]</f>
        <v>2543965.6</v>
      </c>
      <c r="L2" s="14">
        <f>internal_sales_data5[[#This Row],[Gross Profit per unit]]/internal_sales_data5[[#This Row],[Net Price]]</f>
        <v>0.70967741935483875</v>
      </c>
      <c r="M2" s="18">
        <f>internal_sales_data5[[#This Row],[Retail Price]]/internal_sales_data5[[#This Row],[Pack Size (ml)]]</f>
        <v>0.05</v>
      </c>
    </row>
    <row r="3" spans="1:13" x14ac:dyDescent="0.25">
      <c r="A3" t="s">
        <v>57</v>
      </c>
      <c r="B3" t="s">
        <v>77</v>
      </c>
      <c r="C3">
        <v>100</v>
      </c>
      <c r="D3" t="s">
        <v>78</v>
      </c>
      <c r="E3" s="12">
        <v>5</v>
      </c>
      <c r="F3" s="12">
        <v>2.9</v>
      </c>
      <c r="G3" s="12">
        <v>0.95</v>
      </c>
      <c r="H3" s="9">
        <v>693809</v>
      </c>
      <c r="I3" s="6">
        <f>internal_sales_data5[[#This Row],[Volume 2022]]*internal_sales_data5[[#This Row],[Net Price]]</f>
        <v>2012046.0999999999</v>
      </c>
      <c r="J3" s="12">
        <f>internal_sales_data5[[#This Row],[Net Price]]-internal_sales_data5[[#This Row],[COGS]]</f>
        <v>1.95</v>
      </c>
      <c r="K3" s="6">
        <f>internal_sales_data5[[#This Row],[Gross Profit per unit]]*internal_sales_data5[[#This Row],[Volume 2022]]</f>
        <v>1352927.55</v>
      </c>
      <c r="L3" s="14">
        <f>internal_sales_data5[[#This Row],[Gross Profit per unit]]/internal_sales_data5[[#This Row],[Net Price]]</f>
        <v>0.67241379310344829</v>
      </c>
      <c r="M3" s="18">
        <f>internal_sales_data5[[#This Row],[Retail Price]]/internal_sales_data5[[#This Row],[Pack Size (ml)]]</f>
        <v>0.05</v>
      </c>
    </row>
    <row r="4" spans="1:13" x14ac:dyDescent="0.25">
      <c r="A4" t="s">
        <v>57</v>
      </c>
      <c r="B4" t="s">
        <v>79</v>
      </c>
      <c r="C4">
        <v>100</v>
      </c>
      <c r="D4" t="s">
        <v>80</v>
      </c>
      <c r="E4" s="12">
        <v>5</v>
      </c>
      <c r="F4" s="12">
        <v>2.8</v>
      </c>
      <c r="G4" s="12">
        <v>1</v>
      </c>
      <c r="H4" s="9">
        <v>346904</v>
      </c>
      <c r="I4" s="6">
        <f>internal_sales_data5[[#This Row],[Volume 2022]]*internal_sales_data5[[#This Row],[Net Price]]</f>
        <v>971331.2</v>
      </c>
      <c r="J4" s="12">
        <f>internal_sales_data5[[#This Row],[Net Price]]-internal_sales_data5[[#This Row],[COGS]]</f>
        <v>1.7999999999999998</v>
      </c>
      <c r="K4" s="6">
        <f>internal_sales_data5[[#This Row],[Gross Profit per unit]]*internal_sales_data5[[#This Row],[Volume 2022]]</f>
        <v>624427.19999999995</v>
      </c>
      <c r="L4" s="14">
        <f>internal_sales_data5[[#This Row],[Gross Profit per unit]]/internal_sales_data5[[#This Row],[Net Price]]</f>
        <v>0.64285714285714279</v>
      </c>
      <c r="M4" s="18">
        <f>internal_sales_data5[[#This Row],[Retail Price]]/internal_sales_data5[[#This Row],[Pack Size (ml)]]</f>
        <v>0.05</v>
      </c>
    </row>
    <row r="5" spans="1:13" x14ac:dyDescent="0.25">
      <c r="A5" t="s">
        <v>57</v>
      </c>
      <c r="B5" t="s">
        <v>75</v>
      </c>
      <c r="C5">
        <v>150</v>
      </c>
      <c r="D5" t="s">
        <v>81</v>
      </c>
      <c r="E5" s="12">
        <v>7</v>
      </c>
      <c r="F5" s="12">
        <v>3.5</v>
      </c>
      <c r="G5" s="12">
        <v>1.2</v>
      </c>
      <c r="H5" s="9">
        <v>693809</v>
      </c>
      <c r="I5" s="6">
        <f>internal_sales_data5[[#This Row],[Volume 2022]]*internal_sales_data5[[#This Row],[Net Price]]</f>
        <v>2428331.5</v>
      </c>
      <c r="J5" s="12">
        <f>internal_sales_data5[[#This Row],[Net Price]]-internal_sales_data5[[#This Row],[COGS]]</f>
        <v>2.2999999999999998</v>
      </c>
      <c r="K5" s="6">
        <f>internal_sales_data5[[#This Row],[Gross Profit per unit]]*internal_sales_data5[[#This Row],[Volume 2022]]</f>
        <v>1595760.7</v>
      </c>
      <c r="L5" s="14">
        <f>internal_sales_data5[[#This Row],[Gross Profit per unit]]/internal_sales_data5[[#This Row],[Net Price]]</f>
        <v>0.65714285714285714</v>
      </c>
      <c r="M5" s="18">
        <f>internal_sales_data5[[#This Row],[Retail Price]]/internal_sales_data5[[#This Row],[Pack Size (ml)]]</f>
        <v>4.6666666666666669E-2</v>
      </c>
    </row>
    <row r="6" spans="1:13" x14ac:dyDescent="0.25">
      <c r="A6" t="s">
        <v>57</v>
      </c>
      <c r="B6" t="s">
        <v>79</v>
      </c>
      <c r="C6">
        <v>150</v>
      </c>
      <c r="D6" t="s">
        <v>82</v>
      </c>
      <c r="E6" s="12">
        <v>7.25</v>
      </c>
      <c r="F6" s="12">
        <v>3.7</v>
      </c>
      <c r="G6" s="12">
        <v>1.3</v>
      </c>
      <c r="H6" s="9">
        <v>231270</v>
      </c>
      <c r="I6" s="6">
        <f>internal_sales_data5[[#This Row],[Volume 2022]]*internal_sales_data5[[#This Row],[Net Price]]</f>
        <v>855699</v>
      </c>
      <c r="J6" s="12">
        <f>internal_sales_data5[[#This Row],[Net Price]]-internal_sales_data5[[#This Row],[COGS]]</f>
        <v>2.4000000000000004</v>
      </c>
      <c r="K6" s="6">
        <f>internal_sales_data5[[#This Row],[Gross Profit per unit]]*internal_sales_data5[[#This Row],[Volume 2022]]</f>
        <v>555048.00000000012</v>
      </c>
      <c r="L6" s="14">
        <f>internal_sales_data5[[#This Row],[Gross Profit per unit]]/internal_sales_data5[[#This Row],[Net Price]]</f>
        <v>0.64864864864864868</v>
      </c>
      <c r="M6" s="18">
        <f>internal_sales_data5[[#This Row],[Retail Price]]/internal_sales_data5[[#This Row],[Pack Size (ml)]]</f>
        <v>4.8333333333333332E-2</v>
      </c>
    </row>
    <row r="7" spans="1:13" x14ac:dyDescent="0.25">
      <c r="A7" t="s">
        <v>57</v>
      </c>
      <c r="B7" t="s">
        <v>75</v>
      </c>
      <c r="C7">
        <v>200</v>
      </c>
      <c r="D7" t="s">
        <v>83</v>
      </c>
      <c r="E7" s="12">
        <v>9</v>
      </c>
      <c r="F7" s="12">
        <v>5</v>
      </c>
      <c r="G7" s="12">
        <v>1.5</v>
      </c>
      <c r="H7" s="9">
        <v>289087</v>
      </c>
      <c r="I7" s="6">
        <f>internal_sales_data5[[#This Row],[Volume 2022]]*internal_sales_data5[[#This Row],[Net Price]]</f>
        <v>1445435</v>
      </c>
      <c r="J7" s="12">
        <f>internal_sales_data5[[#This Row],[Net Price]]-internal_sales_data5[[#This Row],[COGS]]</f>
        <v>3.5</v>
      </c>
      <c r="K7" s="6">
        <f>internal_sales_data5[[#This Row],[Gross Profit per unit]]*internal_sales_data5[[#This Row],[Volume 2022]]</f>
        <v>1011804.5</v>
      </c>
      <c r="L7" s="14">
        <f>internal_sales_data5[[#This Row],[Gross Profit per unit]]/internal_sales_data5[[#This Row],[Net Price]]</f>
        <v>0.7</v>
      </c>
      <c r="M7" s="18">
        <f>internal_sales_data5[[#This Row],[Retail Price]]/internal_sales_data5[[#This Row],[Pack Size (ml)]]</f>
        <v>4.4999999999999998E-2</v>
      </c>
    </row>
    <row r="8" spans="1:13" x14ac:dyDescent="0.25">
      <c r="A8" t="s">
        <v>22</v>
      </c>
      <c r="B8" t="s">
        <v>84</v>
      </c>
      <c r="C8">
        <v>100</v>
      </c>
      <c r="D8" t="s">
        <v>85</v>
      </c>
      <c r="E8" s="12">
        <v>6</v>
      </c>
      <c r="F8" s="12">
        <v>3.5</v>
      </c>
      <c r="G8" s="12">
        <v>1.1499999999999999</v>
      </c>
      <c r="H8" s="9">
        <v>1089532</v>
      </c>
      <c r="I8" s="6">
        <f>internal_sales_data5[[#This Row],[Volume 2022]]*internal_sales_data5[[#This Row],[Net Price]]</f>
        <v>3813362</v>
      </c>
      <c r="J8" s="12">
        <f>internal_sales_data5[[#This Row],[Net Price]]-internal_sales_data5[[#This Row],[COGS]]</f>
        <v>2.35</v>
      </c>
      <c r="K8" s="6">
        <f>internal_sales_data5[[#This Row],[Gross Profit per unit]]*internal_sales_data5[[#This Row],[Volume 2022]]</f>
        <v>2560400.2000000002</v>
      </c>
      <c r="L8" s="14">
        <f>internal_sales_data5[[#This Row],[Gross Profit per unit]]/internal_sales_data5[[#This Row],[Net Price]]</f>
        <v>0.67142857142857149</v>
      </c>
      <c r="M8" s="18">
        <f>internal_sales_data5[[#This Row],[Retail Price]]/internal_sales_data5[[#This Row],[Pack Size (ml)]]</f>
        <v>0.06</v>
      </c>
    </row>
    <row r="9" spans="1:13" x14ac:dyDescent="0.25">
      <c r="A9" t="s">
        <v>22</v>
      </c>
      <c r="B9" t="s">
        <v>84</v>
      </c>
      <c r="C9">
        <v>125</v>
      </c>
      <c r="D9" t="s">
        <v>86</v>
      </c>
      <c r="E9" s="12">
        <v>7</v>
      </c>
      <c r="F9" s="12">
        <v>4.25</v>
      </c>
      <c r="G9" s="12">
        <v>1.3</v>
      </c>
      <c r="H9" s="9">
        <v>466942</v>
      </c>
      <c r="I9" s="6">
        <f>internal_sales_data5[[#This Row],[Volume 2022]]*internal_sales_data5[[#This Row],[Net Price]]</f>
        <v>1984503.5</v>
      </c>
      <c r="J9" s="12">
        <f>internal_sales_data5[[#This Row],[Net Price]]-internal_sales_data5[[#This Row],[COGS]]</f>
        <v>2.95</v>
      </c>
      <c r="K9" s="6">
        <f>internal_sales_data5[[#This Row],[Gross Profit per unit]]*internal_sales_data5[[#This Row],[Volume 2022]]</f>
        <v>1377478.9000000001</v>
      </c>
      <c r="L9" s="14">
        <f>internal_sales_data5[[#This Row],[Gross Profit per unit]]/internal_sales_data5[[#This Row],[Net Price]]</f>
        <v>0.69411764705882362</v>
      </c>
      <c r="M9" s="18">
        <f>internal_sales_data5[[#This Row],[Retail Price]]/internal_sales_data5[[#This Row],[Pack Size (ml)]]</f>
        <v>5.6000000000000001E-2</v>
      </c>
    </row>
    <row r="10" spans="1:13" x14ac:dyDescent="0.25">
      <c r="A10" t="s">
        <v>22</v>
      </c>
      <c r="B10" t="s">
        <v>84</v>
      </c>
      <c r="C10">
        <v>150</v>
      </c>
      <c r="D10" t="s">
        <v>87</v>
      </c>
      <c r="E10" s="12">
        <v>8</v>
      </c>
      <c r="F10" s="12">
        <v>5.0999999999999996</v>
      </c>
      <c r="G10" s="12">
        <v>1.5</v>
      </c>
      <c r="H10" s="9">
        <v>389118</v>
      </c>
      <c r="I10" s="6">
        <f>internal_sales_data5[[#This Row],[Volume 2022]]*internal_sales_data5[[#This Row],[Net Price]]</f>
        <v>1984501.7999999998</v>
      </c>
      <c r="J10" s="12">
        <f>internal_sales_data5[[#This Row],[Net Price]]-internal_sales_data5[[#This Row],[COGS]]</f>
        <v>3.5999999999999996</v>
      </c>
      <c r="K10" s="6">
        <f>internal_sales_data5[[#This Row],[Gross Profit per unit]]*internal_sales_data5[[#This Row],[Volume 2022]]</f>
        <v>1400824.7999999998</v>
      </c>
      <c r="L10" s="14">
        <f>internal_sales_data5[[#This Row],[Gross Profit per unit]]/internal_sales_data5[[#This Row],[Net Price]]</f>
        <v>0.70588235294117641</v>
      </c>
      <c r="M10" s="18">
        <f>internal_sales_data5[[#This Row],[Retail Price]]/internal_sales_data5[[#This Row],[Pack Size (ml)]]</f>
        <v>5.3333333333333337E-2</v>
      </c>
    </row>
    <row r="11" spans="1:13" x14ac:dyDescent="0.25">
      <c r="A11" t="s">
        <v>22</v>
      </c>
      <c r="B11" t="s">
        <v>84</v>
      </c>
      <c r="C11">
        <v>200</v>
      </c>
      <c r="D11" t="s">
        <v>88</v>
      </c>
      <c r="E11" s="12">
        <v>10</v>
      </c>
      <c r="F11" s="12">
        <v>6</v>
      </c>
      <c r="G11" s="12">
        <v>1.7</v>
      </c>
      <c r="H11" s="9">
        <v>233471</v>
      </c>
      <c r="I11" s="6">
        <f>internal_sales_data5[[#This Row],[Volume 2022]]*internal_sales_data5[[#This Row],[Net Price]]</f>
        <v>1400826</v>
      </c>
      <c r="J11" s="12">
        <f>internal_sales_data5[[#This Row],[Net Price]]-internal_sales_data5[[#This Row],[COGS]]</f>
        <v>4.3</v>
      </c>
      <c r="K11" s="6">
        <f>internal_sales_data5[[#This Row],[Gross Profit per unit]]*internal_sales_data5[[#This Row],[Volume 2022]]</f>
        <v>1003925.2999999999</v>
      </c>
      <c r="L11" s="14">
        <f>internal_sales_data5[[#This Row],[Gross Profit per unit]]/internal_sales_data5[[#This Row],[Net Price]]</f>
        <v>0.71666666666666667</v>
      </c>
      <c r="M11" s="18">
        <f>internal_sales_data5[[#This Row],[Retail Price]]/internal_sales_data5[[#This Row],[Pack Size (ml)]]</f>
        <v>0.05</v>
      </c>
    </row>
    <row r="12" spans="1:13" x14ac:dyDescent="0.25">
      <c r="A12" t="s">
        <v>57</v>
      </c>
      <c r="B12" t="s">
        <v>75</v>
      </c>
      <c r="C12">
        <v>50</v>
      </c>
      <c r="D12" t="str">
        <f>internal_sales_data5[[#This Row],[Brand]]&amp;" "&amp;internal_sales_data5[[#This Row],[Product]]&amp;" "&amp;internal_sales_data5[[#This Row],[Pack Size (ml)]]&amp;"ml"</f>
        <v>Starbust Ultra Soft 50ml</v>
      </c>
      <c r="E12" s="12">
        <f>internal_sales_data5[[#This Row],[Pack Size (ml)]]*M2*(1+50%)</f>
        <v>3.75</v>
      </c>
      <c r="F12" s="12">
        <v>2.2999999999999998</v>
      </c>
      <c r="G12" s="12">
        <v>0.7</v>
      </c>
      <c r="H12" s="9">
        <f>H2*10%</f>
        <v>115634.8</v>
      </c>
      <c r="I12" s="6">
        <f>internal_sales_data5[[#This Row],[Volume 2022]]*internal_sales_data5[[#This Row],[Net Price]]</f>
        <v>265960.03999999998</v>
      </c>
      <c r="J12" s="12">
        <f>internal_sales_data5[[#This Row],[Net Price]]-internal_sales_data5[[#This Row],[COGS]]</f>
        <v>1.5999999999999999</v>
      </c>
      <c r="K12" s="6">
        <f>internal_sales_data5[[#This Row],[Gross Profit per unit]]*internal_sales_data5[[#This Row],[Volume 2022]]</f>
        <v>185015.67999999999</v>
      </c>
      <c r="L12" s="14">
        <f>internal_sales_data5[[#This Row],[Gross Profit per unit]]/internal_sales_data5[[#This Row],[Net Price]]</f>
        <v>0.69565217391304346</v>
      </c>
      <c r="M12" s="18">
        <f>internal_sales_data5[[#This Row],[Retail Price]]/internal_sales_data5[[#This Row],[Pack Size (ml)]]</f>
        <v>7.4999999999999997E-2</v>
      </c>
    </row>
    <row r="22" spans="9:9" x14ac:dyDescent="0.25">
      <c r="I22" s="13"/>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workbookViewId="0">
      <selection activeCell="F2" sqref="F2:H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4.28515625" bestFit="1" customWidth="1"/>
    <col min="7" max="7" width="16.42578125" bestFit="1" customWidth="1"/>
    <col min="8" max="8" width="12.42578125" bestFit="1" customWidth="1"/>
    <col min="9" max="9" width="12" bestFit="1" customWidth="1"/>
    <col min="10" max="10" width="6.42578125" bestFit="1" customWidth="1"/>
  </cols>
  <sheetData>
    <row r="1" spans="1:10" x14ac:dyDescent="0.25">
      <c r="A1" t="s">
        <v>103</v>
      </c>
      <c r="B1" t="s">
        <v>104</v>
      </c>
      <c r="C1" t="s">
        <v>2</v>
      </c>
      <c r="D1" t="s">
        <v>4</v>
      </c>
      <c r="E1" t="s">
        <v>5</v>
      </c>
      <c r="F1" t="s">
        <v>105</v>
      </c>
      <c r="G1" t="s">
        <v>106</v>
      </c>
      <c r="H1" t="s">
        <v>107</v>
      </c>
      <c r="I1" t="s">
        <v>123</v>
      </c>
      <c r="J1" t="s">
        <v>108</v>
      </c>
    </row>
    <row r="2" spans="1:10" x14ac:dyDescent="0.25">
      <c r="A2">
        <v>1</v>
      </c>
      <c r="B2" t="s">
        <v>109</v>
      </c>
      <c r="C2" t="s">
        <v>22</v>
      </c>
      <c r="D2">
        <v>2022</v>
      </c>
      <c r="E2">
        <v>4</v>
      </c>
      <c r="F2" s="19">
        <f>VLOOKUP(promotion_analysis[[#This Row],[Month]],'Promotion Graph'!$A$5:$B$16,2,FALSE)</f>
        <v>1445626</v>
      </c>
      <c r="G2" s="19">
        <f>AVERAGE('Promotion Graph'!$B$5:$B$7,'Promotion Graph'!$B$9:$B$11,'Promotion Graph'!$B$13:$B$14,'Promotion Graph'!$B$16)</f>
        <v>840835.5555555555</v>
      </c>
      <c r="H2" s="19">
        <f>promotion_analysis[[#This Row],[Value sales]]-promotion_analysis[[#This Row],[Baseline sales ]]</f>
        <v>604790.4444444445</v>
      </c>
      <c r="I2" s="1">
        <v>620000</v>
      </c>
      <c r="J2" s="14">
        <f>(promotion_analysis[[#This Row],[Uplift]]-promotion_analysis[[#This Row],[Cost]])/promotion_analysis[[#This Row],[Cost]]</f>
        <v>-2.453154121863791E-2</v>
      </c>
    </row>
    <row r="3" spans="1:10" x14ac:dyDescent="0.25">
      <c r="A3">
        <v>2</v>
      </c>
      <c r="B3" t="s">
        <v>110</v>
      </c>
      <c r="C3" t="s">
        <v>22</v>
      </c>
      <c r="D3">
        <v>2022</v>
      </c>
      <c r="E3">
        <v>8</v>
      </c>
      <c r="F3" s="19">
        <f>VLOOKUP(promotion_analysis[[#This Row],[Month]],'Promotion Graph'!$A$5:$B$16,2,FALSE)</f>
        <v>1198708</v>
      </c>
      <c r="G3" s="19">
        <f>AVERAGE('Promotion Graph'!$B$5:$B$7,'Promotion Graph'!$B$9:$B$11,'Promotion Graph'!$B$13:$B$14,'Promotion Graph'!$B$16)</f>
        <v>840835.5555555555</v>
      </c>
      <c r="H3" s="19">
        <f>promotion_analysis[[#This Row],[Value sales]]-promotion_analysis[[#This Row],[Baseline sales ]]</f>
        <v>357872.4444444445</v>
      </c>
      <c r="I3" s="1">
        <v>320000</v>
      </c>
      <c r="J3" s="14">
        <f>(promotion_analysis[[#This Row],[Uplift]]-promotion_analysis[[#This Row],[Cost]])/promotion_analysis[[#This Row],[Cost]]</f>
        <v>0.11835138888888905</v>
      </c>
    </row>
    <row r="4" spans="1:10" x14ac:dyDescent="0.25">
      <c r="A4">
        <v>3</v>
      </c>
      <c r="B4" t="s">
        <v>111</v>
      </c>
      <c r="C4" t="s">
        <v>22</v>
      </c>
      <c r="D4">
        <v>2022</v>
      </c>
      <c r="E4">
        <v>11</v>
      </c>
      <c r="F4" s="19">
        <f>VLOOKUP(promotion_analysis[[#This Row],[Month]],'Promotion Graph'!$A$5:$B$16,2,FALSE)</f>
        <v>1413646</v>
      </c>
      <c r="G4" s="19">
        <f>AVERAGE('Promotion Graph'!$B$5:$B$7,'Promotion Graph'!$B$9:$B$11,'Promotion Graph'!$B$13:$B$14,'Promotion Graph'!$B$16)</f>
        <v>840835.5555555555</v>
      </c>
      <c r="H4" s="19">
        <f>promotion_analysis[[#This Row],[Value sales]]-promotion_analysis[[#This Row],[Baseline sales ]]</f>
        <v>572810.4444444445</v>
      </c>
      <c r="I4" s="1">
        <v>540000</v>
      </c>
      <c r="J4" s="14">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tabSelected="1" workbookViewId="0">
      <selection sqref="A1:B17"/>
    </sheetView>
  </sheetViews>
  <sheetFormatPr defaultRowHeight="15" x14ac:dyDescent="0.25"/>
  <cols>
    <col min="1" max="1" width="13.140625" bestFit="1" customWidth="1"/>
    <col min="2" max="2" width="20.28515625" bestFit="1" customWidth="1"/>
    <col min="3" max="3" width="11.2851562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8" bestFit="1" customWidth="1"/>
    <col min="12" max="12" width="5.7109375" bestFit="1" customWidth="1"/>
    <col min="13" max="13" width="13.28515625" bestFit="1" customWidth="1"/>
    <col min="14" max="14" width="8" bestFit="1" customWidth="1"/>
    <col min="15" max="15" width="12" bestFit="1" customWidth="1"/>
    <col min="16" max="16" width="9" bestFit="1" customWidth="1"/>
    <col min="17" max="17" width="13.7109375" bestFit="1" customWidth="1"/>
    <col min="18" max="18" width="8.7109375" bestFit="1" customWidth="1"/>
    <col min="19" max="19" width="6.5703125" bestFit="1" customWidth="1"/>
    <col min="20" max="20" width="6.85546875" bestFit="1" customWidth="1"/>
    <col min="21" max="21" width="8.28515625" bestFit="1" customWidth="1"/>
    <col min="22" max="22" width="9.85546875" bestFit="1" customWidth="1"/>
    <col min="23" max="23" width="7.7109375" bestFit="1" customWidth="1"/>
    <col min="24" max="24" width="6.140625" bestFit="1" customWidth="1"/>
    <col min="25" max="25" width="11.85546875" bestFit="1" customWidth="1"/>
    <col min="26" max="26" width="14.85546875" bestFit="1" customWidth="1"/>
    <col min="27" max="27" width="11.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20">
        <v>849590</v>
      </c>
    </row>
    <row r="6" spans="1:2" x14ac:dyDescent="0.25">
      <c r="A6" s="3">
        <v>2</v>
      </c>
      <c r="B6" s="20">
        <v>822290</v>
      </c>
    </row>
    <row r="7" spans="1:2" x14ac:dyDescent="0.25">
      <c r="A7" s="3">
        <v>3</v>
      </c>
      <c r="B7" s="20">
        <v>827649</v>
      </c>
    </row>
    <row r="8" spans="1:2" x14ac:dyDescent="0.25">
      <c r="A8" s="3">
        <v>4</v>
      </c>
      <c r="B8" s="20">
        <v>1445626</v>
      </c>
    </row>
    <row r="9" spans="1:2" x14ac:dyDescent="0.25">
      <c r="A9" s="3">
        <v>5</v>
      </c>
      <c r="B9" s="20">
        <v>874089</v>
      </c>
    </row>
    <row r="10" spans="1:2" x14ac:dyDescent="0.25">
      <c r="A10" s="3">
        <v>6</v>
      </c>
      <c r="B10" s="20">
        <v>876087</v>
      </c>
    </row>
    <row r="11" spans="1:2" x14ac:dyDescent="0.25">
      <c r="A11" s="3">
        <v>7</v>
      </c>
      <c r="B11" s="20">
        <v>842454</v>
      </c>
    </row>
    <row r="12" spans="1:2" x14ac:dyDescent="0.25">
      <c r="A12" s="3">
        <v>8</v>
      </c>
      <c r="B12" s="20">
        <v>1198708</v>
      </c>
    </row>
    <row r="13" spans="1:2" x14ac:dyDescent="0.25">
      <c r="A13" s="3">
        <v>9</v>
      </c>
      <c r="B13" s="20">
        <v>853650</v>
      </c>
    </row>
    <row r="14" spans="1:2" x14ac:dyDescent="0.25">
      <c r="A14" s="3">
        <v>10</v>
      </c>
      <c r="B14" s="20">
        <v>816480</v>
      </c>
    </row>
    <row r="15" spans="1:2" x14ac:dyDescent="0.25">
      <c r="A15" s="3">
        <v>11</v>
      </c>
      <c r="B15" s="20">
        <v>1413646</v>
      </c>
    </row>
    <row r="16" spans="1:2" x14ac:dyDescent="0.25">
      <c r="A16" s="3">
        <v>12</v>
      </c>
      <c r="B16" s="20">
        <v>805231</v>
      </c>
    </row>
    <row r="17" spans="1:2" x14ac:dyDescent="0.25">
      <c r="A17" s="3" t="s">
        <v>59</v>
      </c>
      <c r="B17" s="20">
        <v>11625500</v>
      </c>
    </row>
    <row r="20" spans="1:2" x14ac:dyDescent="0.25">
      <c r="B20" s="1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workbookViewId="0">
      <selection activeCell="B1" sqref="B1"/>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s>
  <sheetData>
    <row r="1" spans="1:7" x14ac:dyDescent="0.25">
      <c r="A1" t="s">
        <v>112</v>
      </c>
      <c r="B1" t="s">
        <v>113</v>
      </c>
      <c r="C1" t="s">
        <v>114</v>
      </c>
      <c r="D1" t="s">
        <v>115</v>
      </c>
      <c r="E1" t="s">
        <v>116</v>
      </c>
      <c r="F1" t="s">
        <v>101</v>
      </c>
      <c r="G1" t="s">
        <v>117</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14">
        <f>Table7[[#This Row],[Net Sales]]/Table7[[#This Row],[Values]]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1:E2"/>
  <sheetViews>
    <sheetView zoomScale="80" workbookViewId="0">
      <selection sqref="A1:E2"/>
    </sheetView>
  </sheetViews>
  <sheetFormatPr defaultRowHeight="15" x14ac:dyDescent="0.25"/>
  <cols>
    <col min="1" max="1" width="23.42578125" bestFit="1" customWidth="1"/>
    <col min="2" max="2" width="18" bestFit="1" customWidth="1"/>
    <col min="3" max="3" width="16.42578125" bestFit="1" customWidth="1"/>
    <col min="4" max="4" width="14.28515625" bestFit="1" customWidth="1"/>
    <col min="5" max="5" width="23.42578125" bestFit="1" customWidth="1"/>
  </cols>
  <sheetData>
    <row r="1" spans="1:5" x14ac:dyDescent="0.25">
      <c r="A1" t="s">
        <v>118</v>
      </c>
      <c r="B1" t="s">
        <v>122</v>
      </c>
      <c r="C1" t="s">
        <v>119</v>
      </c>
      <c r="D1" t="s">
        <v>126</v>
      </c>
      <c r="E1" t="s">
        <v>121</v>
      </c>
    </row>
    <row r="2" spans="1:5" x14ac:dyDescent="0.25">
      <c r="A2" s="13">
        <f>'Forecast 2024'!F7</f>
        <v>20606057.899500884</v>
      </c>
      <c r="B2" s="13">
        <f>'Forecast 2024'!F8-'Forecast 2024'!F7</f>
        <v>202654.24053605273</v>
      </c>
      <c r="C2" s="13">
        <f>'Organic Shampoo Launch'!E3</f>
        <v>336896.60399999993</v>
      </c>
      <c r="D2" s="13">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F394ACF-6130-4947-97FE-A560C7B6E737}">
  <ds:schemaRefs>
    <ds:schemaRef ds:uri="http://schemas.microsoft.com/sharepoint/v3/contenttype/forms"/>
  </ds:schemaRefs>
</ds:datastoreItem>
</file>

<file path=customXml/itemProps2.xml><?xml version="1.0" encoding="utf-8"?>
<ds:datastoreItem xmlns:ds="http://schemas.openxmlformats.org/officeDocument/2006/customXml" ds:itemID="{36FD4523-67D8-4D99-9C3B-55FEFD1949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8D7BE8-6711-47A3-98D0-92DA01E67F15}">
  <ds:schemaRefs>
    <ds:schemaRef ds:uri="http://schemas.microsoft.com/DataMashup"/>
  </ds:schemaRefs>
</ds:datastoreItem>
</file>

<file path=customXml/itemProps4.xml><?xml version="1.0" encoding="utf-8"?>
<ds:datastoreItem xmlns:ds="http://schemas.openxmlformats.org/officeDocument/2006/customXml" ds:itemID="{6CCC06D9-D2B4-4936-8D88-171C846A3FA4}">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محمد علي  | Alumni</cp:lastModifiedBy>
  <dcterms:created xsi:type="dcterms:W3CDTF">2022-06-08T14:08:07Z</dcterms:created>
  <dcterms:modified xsi:type="dcterms:W3CDTF">2025-03-02T21:32:25Z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