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ne011864\Desktop\Watomizer\Paper\Case Study\"/>
    </mc:Choice>
  </mc:AlternateContent>
  <xr:revisionPtr revIDLastSave="0" documentId="13_ncr:1_{BF4AAF3F-9E4C-4FF3-A90B-818248645FD3}" xr6:coauthVersionLast="45" xr6:coauthVersionMax="45" xr10:uidLastSave="{00000000-0000-0000-0000-000000000000}"/>
  <bookViews>
    <workbookView xWindow="-110" yWindow="-110" windowWidth="19420" windowHeight="10420" tabRatio="843" activeTab="3" xr2:uid="{00000000-000D-0000-FFFF-FFFF00000000}"/>
  </bookViews>
  <sheets>
    <sheet name="Production" sheetId="1" r:id="rId1"/>
    <sheet name="Stations Data" sheetId="2" r:id="rId2"/>
    <sheet name="Demand" sheetId="3" r:id="rId3"/>
    <sheet name="Total network optimization" sheetId="13" r:id="rId4"/>
  </sheets>
  <definedNames>
    <definedName name="OpenSolver_ChosenSolver" localSheetId="2" hidden="1">CBC</definedName>
    <definedName name="OpenSolver_ChosenSolver" localSheetId="1" hidden="1">CBC</definedName>
    <definedName name="OpenSolver_ChosenSolver" localSheetId="3" hidden="1">CBC</definedName>
    <definedName name="OpenSolver_DualsNewSheet" localSheetId="3" hidden="1">0</definedName>
    <definedName name="OpenSolver_LinearityCheck" localSheetId="2" hidden="1">1</definedName>
    <definedName name="OpenSolver_LinearityCheck" localSheetId="1" hidden="1">1</definedName>
    <definedName name="OpenSolver_LinearityCheck" localSheetId="3" hidden="1">1</definedName>
    <definedName name="OpenSolver_UpdateSensitivity" localSheetId="3" hidden="1">1</definedName>
    <definedName name="solver_adj" localSheetId="3" hidden="1">'Total network optimization'!$D$256:$AA$305</definedName>
    <definedName name="solver_cvg" localSheetId="1" hidden="1">0.0001</definedName>
    <definedName name="solver_cvg" localSheetId="3" hidden="1">0.0001</definedName>
    <definedName name="solver_drv" localSheetId="1" hidden="1">1</definedName>
    <definedName name="solver_drv" localSheetId="3" hidden="1">1</definedName>
    <definedName name="solver_eng" localSheetId="3" hidden="1">2</definedName>
    <definedName name="solver_est" localSheetId="1" hidden="1">1</definedName>
    <definedName name="solver_est" localSheetId="3" hidden="1">1</definedName>
    <definedName name="solver_itr" localSheetId="1" hidden="1">2147483647</definedName>
    <definedName name="solver_itr" localSheetId="3" hidden="1">2147483647</definedName>
    <definedName name="solver_lhs1" localSheetId="3" hidden="1">'Total network optimization'!$D$109:$AA$109</definedName>
    <definedName name="solver_lhs10" localSheetId="3" hidden="1">'Total network optimization'!$D$136:$AA$136</definedName>
    <definedName name="solver_lhs100" localSheetId="3" hidden="1">'Total network optimization'!$E$258:$AA$258</definedName>
    <definedName name="solver_lhs101" localSheetId="3" hidden="1">'Total network optimization'!$D$93:$AA$93</definedName>
    <definedName name="solver_lhs102" localSheetId="3" hidden="1">'Total network optimization'!$E$260:$AA$260</definedName>
    <definedName name="solver_lhs103" localSheetId="3" hidden="1">'Total network optimization'!$E$262:$AA$262</definedName>
    <definedName name="solver_lhs104" localSheetId="3" hidden="1">'Total network optimization'!$I$98</definedName>
    <definedName name="solver_lhs105" localSheetId="3" hidden="1">'Total network optimization'!$E$267:$AA$267</definedName>
    <definedName name="solver_lhs106" localSheetId="3" hidden="1">'Total network optimization'!$E$262:$AA$262</definedName>
    <definedName name="solver_lhs107" localSheetId="3" hidden="1">'Total network optimization'!$E$269:$AA$269</definedName>
    <definedName name="solver_lhs108" localSheetId="3" hidden="1">'Total network optimization'!$E$273:$AA$273</definedName>
    <definedName name="solver_lhs109" localSheetId="3" hidden="1">'Total network optimization'!$E$277:$AA$277</definedName>
    <definedName name="solver_lhs11" localSheetId="3" hidden="1">'Total network optimization'!$D$157:$AA$157</definedName>
    <definedName name="solver_lhs110" localSheetId="3" hidden="1">'Total network optimization'!$D$212:$AA$212</definedName>
    <definedName name="solver_lhs111" localSheetId="3" hidden="1">'Total network optimization'!$G$163</definedName>
    <definedName name="solver_lhs112" localSheetId="3" hidden="1">'Total network optimization'!$D$15:$AA$15</definedName>
    <definedName name="solver_lhs113" localSheetId="3" hidden="1">'Total network optimization'!$G$170</definedName>
    <definedName name="solver_lhs114" localSheetId="3" hidden="1">'Total network optimization'!$D$290:$AA$290</definedName>
    <definedName name="solver_lhs115" localSheetId="3" hidden="1">'Total network optimization'!$D$69:$AA$69</definedName>
    <definedName name="solver_lhs116" localSheetId="3" hidden="1">'Total network optimization'!$E$267:$AA$267</definedName>
    <definedName name="solver_lhs117" localSheetId="3" hidden="1">'Total network optimization'!$D$26:$AA$26</definedName>
    <definedName name="solver_lhs118" localSheetId="3" hidden="1">'Total network optimization'!$G$198</definedName>
    <definedName name="solver_lhs119" localSheetId="3" hidden="1">'Total network optimization'!$G$187</definedName>
    <definedName name="solver_lhs12" localSheetId="3" hidden="1">'Total network optimization'!$D$15:$AA$15</definedName>
    <definedName name="solver_lhs120" localSheetId="3" hidden="1">'Total network optimization'!$G$177</definedName>
    <definedName name="solver_lhs121" localSheetId="3" hidden="1">'Total network optimization'!$D$274:$AA$274</definedName>
    <definedName name="solver_lhs122" localSheetId="3" hidden="1">'Total network optimization'!$G$214</definedName>
    <definedName name="solver_lhs123" localSheetId="3" hidden="1">'Total network optimization'!$D$47:$AA$47</definedName>
    <definedName name="solver_lhs124" localSheetId="3" hidden="1">'Total network optimization'!$E$260:$AA$260</definedName>
    <definedName name="solver_lhs125" localSheetId="3" hidden="1">'Total network optimization'!$D$226:$AA$226</definedName>
    <definedName name="solver_lhs126" localSheetId="3" hidden="1">'Total network optimization'!$G$231</definedName>
    <definedName name="solver_lhs127" localSheetId="3" hidden="1">'Total network optimization'!$G$223</definedName>
    <definedName name="solver_lhs128" localSheetId="3" hidden="1">'Total network optimization'!$I$10</definedName>
    <definedName name="solver_lhs129" localSheetId="3" hidden="1">'Total network optimization'!$I$21</definedName>
    <definedName name="solver_lhs13" localSheetId="3" hidden="1">'Total network optimization'!$D$153:$AA$153</definedName>
    <definedName name="solver_lhs130" localSheetId="3" hidden="1">'Total network optimization'!$I$118</definedName>
    <definedName name="solver_lhs131" localSheetId="3" hidden="1">'Total network optimization'!$I$32</definedName>
    <definedName name="solver_lhs132" localSheetId="3" hidden="1">'Total network optimization'!$I$42</definedName>
    <definedName name="solver_lhs133" localSheetId="3" hidden="1">'Total network optimization'!$D$102:$AA$102</definedName>
    <definedName name="solver_lhs134" localSheetId="3" hidden="1">'Total network optimization'!$I$77</definedName>
    <definedName name="solver_lhs14" localSheetId="3" hidden="1">'Total network optimization'!$D$162:$AA$162</definedName>
    <definedName name="solver_lhs15" localSheetId="3" hidden="1">'Total network optimization'!$D$169:$AA$169</definedName>
    <definedName name="solver_lhs16" localSheetId="3" hidden="1">'Total network optimization'!$D$168:$AA$168</definedName>
    <definedName name="solver_lhs17" localSheetId="3" hidden="1">'Total network optimization'!$D$181:$AA$181</definedName>
    <definedName name="solver_lhs18" localSheetId="3" hidden="1">'Total network optimization'!$D$175:$AA$175</definedName>
    <definedName name="solver_lhs19" localSheetId="3" hidden="1">'Total network optimization'!$D$181:$AA$181</definedName>
    <definedName name="solver_lhs2" localSheetId="3" hidden="1">'Total network optimization'!$D$122:$AA$122</definedName>
    <definedName name="solver_lhs20" localSheetId="3" hidden="1">'Total network optimization'!$D$196:$AA$196</definedName>
    <definedName name="solver_lhs21" localSheetId="3" hidden="1">'Total network optimization'!$D$192:$AA$192</definedName>
    <definedName name="solver_lhs22" localSheetId="3" hidden="1">'Total network optimization'!$D$229:$AA$229</definedName>
    <definedName name="solver_lhs23" localSheetId="3" hidden="1">'Total network optimization'!$D$230:$AA$230</definedName>
    <definedName name="solver_lhs24" localSheetId="3" hidden="1">'Total network optimization'!$D$203:$AA$203</definedName>
    <definedName name="solver_lhs25" localSheetId="3" hidden="1">'Total network optimization'!$D$236:$AA$236</definedName>
    <definedName name="solver_lhs26" localSheetId="3" hidden="1">'Total network optimization'!$D$236:$AA$236</definedName>
    <definedName name="solver_lhs27" localSheetId="3" hidden="1">'Total network optimization'!$D$213:$AA$213</definedName>
    <definedName name="solver_lhs28" localSheetId="3" hidden="1">'Total network optimization'!$D$161:$AA$161</definedName>
    <definedName name="solver_lhs29" localSheetId="3" hidden="1">'Total network optimization'!$D$268:$AA$268</definedName>
    <definedName name="solver_lhs3" localSheetId="3" hidden="1">'Total network optimization'!$D$109:$AA$109</definedName>
    <definedName name="solver_lhs30" localSheetId="3" hidden="1">'Total network optimization'!$D$264:$AA$264</definedName>
    <definedName name="solver_lhs31" localSheetId="3" hidden="1">'Total network optimization'!$D$26:$AA$26</definedName>
    <definedName name="solver_lhs32" localSheetId="3" hidden="1">'Total network optimization'!$D$4:$AA$4</definedName>
    <definedName name="solver_lhs33" localSheetId="3" hidden="1">'Total network optimization'!$D$135:$AA$135</definedName>
    <definedName name="solver_lhs34" localSheetId="3" hidden="1">'Total network optimization'!$E$273:$AA$273</definedName>
    <definedName name="solver_lhs35" localSheetId="3" hidden="1">'Total network optimization'!$D$270:$AA$270</definedName>
    <definedName name="solver_lhs36" localSheetId="3" hidden="1">'Total network optimization'!$G$137</definedName>
    <definedName name="solver_lhs37" localSheetId="3" hidden="1">'Total network optimization'!$D$139:$AA$139</definedName>
    <definedName name="solver_lhs38" localSheetId="3" hidden="1">'Total network optimization'!$D$149:$AA$149</definedName>
    <definedName name="solver_lhs39" localSheetId="3" hidden="1">'Total network optimization'!$D$171:$AA$171</definedName>
    <definedName name="solver_lhs4" localSheetId="3" hidden="1">'Total network optimization'!$D$122:$AA$122</definedName>
    <definedName name="solver_lhs40" localSheetId="3" hidden="1">'Total network optimization'!$D$158</definedName>
    <definedName name="solver_lhs41" localSheetId="3" hidden="1">'Total network optimization'!$D$176:$AA$176</definedName>
    <definedName name="solver_lhs42" localSheetId="3" hidden="1">'Total network optimization'!$D$186:$AA$186</definedName>
    <definedName name="solver_lhs43" localSheetId="3" hidden="1">'Total network optimization'!$D$185:$AA$185</definedName>
    <definedName name="solver_lhs44" localSheetId="3" hidden="1">'Total network optimization'!$D$197:$AA$197</definedName>
    <definedName name="solver_lhs45" localSheetId="3" hidden="1">'Total network optimization'!$D$208:$AA$208</definedName>
    <definedName name="solver_lhs46" localSheetId="3" hidden="1">'Total network optimization'!$D$192:$AA$192</definedName>
    <definedName name="solver_lhs47" localSheetId="3" hidden="1">'Total network optimization'!$D$221:$AA$221</definedName>
    <definedName name="solver_lhs48" localSheetId="3" hidden="1">'Total network optimization'!$D$203:$AA$203</definedName>
    <definedName name="solver_lhs49" localSheetId="3" hidden="1">'Total network optimization'!$D$224:$AA$224</definedName>
    <definedName name="solver_lhs5" localSheetId="3" hidden="1">'Total network optimization'!$D$102:$AA$102</definedName>
    <definedName name="solver_lhs50" localSheetId="3" hidden="1">'Total network optimization'!$D$256:$AA$256</definedName>
    <definedName name="solver_lhs51" localSheetId="3" hidden="1">'Total network optimization'!$D$226:$AA$226</definedName>
    <definedName name="solver_lhs52" localSheetId="3" hidden="1">'Total network optimization'!$D$257:$AA$257</definedName>
    <definedName name="solver_lhs53" localSheetId="3" hidden="1">'Total network optimization'!$D$222:$AA$222</definedName>
    <definedName name="solver_lhs54" localSheetId="3" hidden="1">'Total network optimization'!$D$259:$AA$259</definedName>
    <definedName name="solver_lhs55" localSheetId="3" hidden="1">'Total network optimization'!$D$256:$AA$256</definedName>
    <definedName name="solver_lhs56" localSheetId="3" hidden="1">'Total network optimization'!$D$154:$AA$154</definedName>
    <definedName name="solver_lhs57" localSheetId="3" hidden="1">'Total network optimization'!$D$268:$AA$268</definedName>
    <definedName name="solver_lhs58" localSheetId="3" hidden="1">'Total network optimization'!$D$270:$AA$270</definedName>
    <definedName name="solver_lhs59" localSheetId="3" hidden="1">'Total network optimization'!$D$274:$AA$274</definedName>
    <definedName name="solver_lhs6" localSheetId="3" hidden="1">'Total network optimization'!$D$125:$AA$125</definedName>
    <definedName name="solver_lhs60" localSheetId="3" hidden="1">'Total network optimization'!$D$270:$AA$270</definedName>
    <definedName name="solver_lhs61" localSheetId="3" hidden="1">'Total network optimization'!$D$278:$AA$278</definedName>
    <definedName name="solver_lhs62" localSheetId="3" hidden="1">'Total network optimization'!$D$272:$AA$272</definedName>
    <definedName name="solver_lhs63" localSheetId="3" hidden="1">'Total network optimization'!$D$276:$AA$276</definedName>
    <definedName name="solver_lhs64" localSheetId="3" hidden="1">'Total network optimization'!$D$261:$AA$261</definedName>
    <definedName name="solver_lhs65" localSheetId="3" hidden="1">'Total network optimization'!$D$292:$AA$292</definedName>
    <definedName name="solver_lhs66" localSheetId="3" hidden="1">'Total network optimization'!$E$269:$AA$269</definedName>
    <definedName name="solver_lhs67" localSheetId="3" hidden="1">'Total network optimization'!$I$64</definedName>
    <definedName name="solver_lhs68" localSheetId="3" hidden="1">'Total network optimization'!$D$278:$AA$278</definedName>
    <definedName name="solver_lhs69" localSheetId="3" hidden="1">'Total network optimization'!$S$80</definedName>
    <definedName name="solver_lhs7" localSheetId="3" hidden="1">'Total network optimization'!$D$130:$AA$130</definedName>
    <definedName name="solver_lhs70" localSheetId="3" hidden="1">'Total network optimization'!$D$266:$AA$266</definedName>
    <definedName name="solver_lhs71" localSheetId="3" hidden="1">'Total network optimization'!$D$265:$AA$265</definedName>
    <definedName name="solver_lhs72" localSheetId="3" hidden="1">'Total network optimization'!$D$286:$AA$286</definedName>
    <definedName name="solver_lhs73" localSheetId="3" hidden="1">'Total network optimization'!$D$263:$AA$263</definedName>
    <definedName name="solver_lhs74" localSheetId="3" hidden="1">'Total network optimization'!$G$155</definedName>
    <definedName name="solver_lhs75" localSheetId="3" hidden="1">'Total network optimization'!$D$224:$AA$224</definedName>
    <definedName name="solver_lhs76" localSheetId="3" hidden="1">'Total network optimization'!$D$241:$AA$241</definedName>
    <definedName name="solver_lhs77" localSheetId="3" hidden="1">'Total network optimization'!$D$245:$AA$245</definedName>
    <definedName name="solver_lhs78" localSheetId="3" hidden="1">'Total network optimization'!$D$261:$AA$261</definedName>
    <definedName name="solver_lhs79" localSheetId="3" hidden="1">'Total network optimization'!$D$249:$AA$249</definedName>
    <definedName name="solver_lhs8" localSheetId="3" hidden="1">'Total network optimization'!$D$130:$AA$130</definedName>
    <definedName name="solver_lhs80" localSheetId="3" hidden="1">'Total network optimization'!$D$294:$AA$294</definedName>
    <definedName name="solver_lhs81" localSheetId="3" hidden="1">'Total network optimization'!$D$271:$AA$271</definedName>
    <definedName name="solver_lhs82" localSheetId="3" hidden="1">'Total network optimization'!$D$297:$AA$297</definedName>
    <definedName name="solver_lhs83" localSheetId="3" hidden="1">'Total network optimization'!$D$37:$AA$37</definedName>
    <definedName name="solver_lhs84" localSheetId="3" hidden="1">'Total network optimization'!$D$275:$AA$275</definedName>
    <definedName name="solver_lhs85" localSheetId="3" hidden="1">'Total network optimization'!$D$37:$AA$37</definedName>
    <definedName name="solver_lhs86" localSheetId="3" hidden="1">'Total network optimization'!$D$47:$AA$47</definedName>
    <definedName name="solver_lhs87" localSheetId="3" hidden="1">'Total network optimization'!$D$56:$AA$56</definedName>
    <definedName name="solver_lhs88" localSheetId="3" hidden="1">'Total network optimization'!$D$56:$AA$56</definedName>
    <definedName name="solver_lhs89" localSheetId="3" hidden="1">'Total network optimization'!$D$298:$AA$298</definedName>
    <definedName name="solver_lhs9" localSheetId="3" hidden="1">'Total network optimization'!$D$149:$AA$149</definedName>
    <definedName name="solver_lhs90" localSheetId="3" hidden="1">'Total network optimization'!$D$81:$AA$81</definedName>
    <definedName name="solver_lhs91" localSheetId="3" hidden="1">'Total network optimization'!$E$258:$AA$258</definedName>
    <definedName name="solver_lhs92" localSheetId="3" hidden="1">'Total network optimization'!$D$4:$AA$4</definedName>
    <definedName name="solver_lhs93" localSheetId="3" hidden="1">'Total network optimization'!$D$266:$AA$266</definedName>
    <definedName name="solver_lhs94" localSheetId="3" hidden="1">'Total network optimization'!$E$277:$AA$277</definedName>
    <definedName name="solver_lhs95" localSheetId="3" hidden="1">'Total network optimization'!$D$69:$AA$69</definedName>
    <definedName name="solver_lhs96" localSheetId="3" hidden="1">'Total network optimization'!$D$81:$AA$81</definedName>
    <definedName name="solver_lhs97" localSheetId="3" hidden="1">'Total network optimization'!$D$87:$AA$87</definedName>
    <definedName name="solver_lhs98" localSheetId="3" hidden="1">'Total network optimization'!$D$93:$AA$93</definedName>
    <definedName name="solver_lhs99" localSheetId="3" hidden="1">'Total network optimization'!$D$87:$AA$87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1" hidden="1">1</definedName>
    <definedName name="solver_neg" localSheetId="3" hidden="1">1</definedName>
    <definedName name="solver_nod" localSheetId="3" hidden="1">2147483647</definedName>
    <definedName name="solver_num" localSheetId="3" hidden="1">134</definedName>
    <definedName name="solver_nwt" localSheetId="1" hidden="1">1</definedName>
    <definedName name="solver_nwt" localSheetId="3" hidden="1">1</definedName>
    <definedName name="solver_opt" localSheetId="3" hidden="1">'Total network optimization'!$D$253</definedName>
    <definedName name="solver_pre" localSheetId="1" hidden="1">0.000001</definedName>
    <definedName name="solver_pre" localSheetId="3" hidden="1">0.000001</definedName>
    <definedName name="solver_rbv" localSheetId="3" hidden="1">1</definedName>
    <definedName name="solver_rel1" localSheetId="3" hidden="1">3</definedName>
    <definedName name="solver_rel10" localSheetId="3" hidden="1">1</definedName>
    <definedName name="solver_rel100" localSheetId="3" hidden="1">3</definedName>
    <definedName name="solver_rel101" localSheetId="3" hidden="1">3</definedName>
    <definedName name="solver_rel102" localSheetId="3" hidden="1">3</definedName>
    <definedName name="solver_rel103" localSheetId="3" hidden="1">3</definedName>
    <definedName name="solver_rel104" localSheetId="3" hidden="1">1</definedName>
    <definedName name="solver_rel105" localSheetId="3" hidden="1">3</definedName>
    <definedName name="solver_rel106" localSheetId="3" hidden="1">3</definedName>
    <definedName name="solver_rel107" localSheetId="3" hidden="1">3</definedName>
    <definedName name="solver_rel108" localSheetId="3" hidden="1">3</definedName>
    <definedName name="solver_rel109" localSheetId="3" hidden="1">3</definedName>
    <definedName name="solver_rel11" localSheetId="3" hidden="1">1</definedName>
    <definedName name="solver_rel110" localSheetId="3" hidden="1">1</definedName>
    <definedName name="solver_rel111" localSheetId="3" hidden="1">1</definedName>
    <definedName name="solver_rel112" localSheetId="3" hidden="1">3</definedName>
    <definedName name="solver_rel113" localSheetId="3" hidden="1">1</definedName>
    <definedName name="solver_rel114" localSheetId="3" hidden="1">1</definedName>
    <definedName name="solver_rel115" localSheetId="3" hidden="1">1</definedName>
    <definedName name="solver_rel116" localSheetId="3" hidden="1">3</definedName>
    <definedName name="solver_rel117" localSheetId="3" hidden="1">1</definedName>
    <definedName name="solver_rel118" localSheetId="3" hidden="1">1</definedName>
    <definedName name="solver_rel119" localSheetId="3" hidden="1">1</definedName>
    <definedName name="solver_rel12" localSheetId="3" hidden="1">1</definedName>
    <definedName name="solver_rel120" localSheetId="3" hidden="1">1</definedName>
    <definedName name="solver_rel121" localSheetId="3" hidden="1">3</definedName>
    <definedName name="solver_rel122" localSheetId="3" hidden="1">1</definedName>
    <definedName name="solver_rel123" localSheetId="3" hidden="1">3</definedName>
    <definedName name="solver_rel124" localSheetId="3" hidden="1">3</definedName>
    <definedName name="solver_rel125" localSheetId="3" hidden="1">3</definedName>
    <definedName name="solver_rel126" localSheetId="3" hidden="1">1</definedName>
    <definedName name="solver_rel127" localSheetId="3" hidden="1">1</definedName>
    <definedName name="solver_rel128" localSheetId="3" hidden="1">1</definedName>
    <definedName name="solver_rel129" localSheetId="3" hidden="1">1</definedName>
    <definedName name="solver_rel13" localSheetId="3" hidden="1">1</definedName>
    <definedName name="solver_rel130" localSheetId="3" hidden="1">1</definedName>
    <definedName name="solver_rel131" localSheetId="3" hidden="1">1</definedName>
    <definedName name="solver_rel132" localSheetId="3" hidden="1">1</definedName>
    <definedName name="solver_rel133" localSheetId="3" hidden="1">3</definedName>
    <definedName name="solver_rel134" localSheetId="3" hidden="1">1</definedName>
    <definedName name="solver_rel14" localSheetId="3" hidden="1">1</definedName>
    <definedName name="solver_rel15" localSheetId="3" hidden="1">1</definedName>
    <definedName name="solver_rel16" localSheetId="3" hidden="1">1</definedName>
    <definedName name="solver_rel17" localSheetId="3" hidden="1">1</definedName>
    <definedName name="solver_rel18" localSheetId="3" hidden="1">1</definedName>
    <definedName name="solver_rel19" localSheetId="3" hidden="1">3</definedName>
    <definedName name="solver_rel2" localSheetId="3" hidden="1">1</definedName>
    <definedName name="solver_rel20" localSheetId="3" hidden="1">1</definedName>
    <definedName name="solver_rel21" localSheetId="3" hidden="1">3</definedName>
    <definedName name="solver_rel22" localSheetId="3" hidden="1">1</definedName>
    <definedName name="solver_rel23" localSheetId="3" hidden="1">1</definedName>
    <definedName name="solver_rel24" localSheetId="3" hidden="1">3</definedName>
    <definedName name="solver_rel25" localSheetId="3" hidden="1">1</definedName>
    <definedName name="solver_rel26" localSheetId="3" hidden="1">3</definedName>
    <definedName name="solver_rel27" localSheetId="3" hidden="1">1</definedName>
    <definedName name="solver_rel28" localSheetId="3" hidden="1">1</definedName>
    <definedName name="solver_rel29" localSheetId="3" hidden="1">1</definedName>
    <definedName name="solver_rel3" localSheetId="3" hidden="1">1</definedName>
    <definedName name="solver_rel30" localSheetId="3" hidden="1">1</definedName>
    <definedName name="solver_rel31" localSheetId="3" hidden="1">3</definedName>
    <definedName name="solver_rel32" localSheetId="3" hidden="1">3</definedName>
    <definedName name="solver_rel33" localSheetId="3" hidden="1">1</definedName>
    <definedName name="solver_rel34" localSheetId="3" hidden="1">3</definedName>
    <definedName name="solver_rel35" localSheetId="3" hidden="1">1</definedName>
    <definedName name="solver_rel36" localSheetId="3" hidden="1">1</definedName>
    <definedName name="solver_rel37" localSheetId="3" hidden="1">1</definedName>
    <definedName name="solver_rel38" localSheetId="3" hidden="1">3</definedName>
    <definedName name="solver_rel39" localSheetId="3" hidden="1">3</definedName>
    <definedName name="solver_rel4" localSheetId="3" hidden="1">3</definedName>
    <definedName name="solver_rel40" localSheetId="3" hidden="1">3</definedName>
    <definedName name="solver_rel41" localSheetId="3" hidden="1">1</definedName>
    <definedName name="solver_rel42" localSheetId="3" hidden="1">1</definedName>
    <definedName name="solver_rel43" localSheetId="3" hidden="1">1</definedName>
    <definedName name="solver_rel44" localSheetId="3" hidden="1">1</definedName>
    <definedName name="solver_rel45" localSheetId="3" hidden="1">3</definedName>
    <definedName name="solver_rel46" localSheetId="3" hidden="1">1</definedName>
    <definedName name="solver_rel47" localSheetId="3" hidden="1">1</definedName>
    <definedName name="solver_rel48" localSheetId="3" hidden="1">1</definedName>
    <definedName name="solver_rel49" localSheetId="3" hidden="1">1</definedName>
    <definedName name="solver_rel5" localSheetId="3" hidden="1">1</definedName>
    <definedName name="solver_rel50" localSheetId="3" hidden="1">3</definedName>
    <definedName name="solver_rel51" localSheetId="3" hidden="1">1</definedName>
    <definedName name="solver_rel52" localSheetId="3" hidden="1">1</definedName>
    <definedName name="solver_rel53" localSheetId="3" hidden="1">1</definedName>
    <definedName name="solver_rel54" localSheetId="3" hidden="1">1</definedName>
    <definedName name="solver_rel55" localSheetId="3" hidden="1">3</definedName>
    <definedName name="solver_rel56" localSheetId="3" hidden="1">1</definedName>
    <definedName name="solver_rel57" localSheetId="3" hidden="1">3</definedName>
    <definedName name="solver_rel58" localSheetId="3" hidden="1">4</definedName>
    <definedName name="solver_rel59" localSheetId="3" hidden="1">1</definedName>
    <definedName name="solver_rel6" localSheetId="3" hidden="1">3</definedName>
    <definedName name="solver_rel60" localSheetId="3" hidden="1">3</definedName>
    <definedName name="solver_rel61" localSheetId="3" hidden="1">3</definedName>
    <definedName name="solver_rel62" localSheetId="3" hidden="1">1</definedName>
    <definedName name="solver_rel63" localSheetId="3" hidden="1">5</definedName>
    <definedName name="solver_rel64" localSheetId="3" hidden="1">3</definedName>
    <definedName name="solver_rel65" localSheetId="3" hidden="1">1</definedName>
    <definedName name="solver_rel66" localSheetId="3" hidden="1">3</definedName>
    <definedName name="solver_rel67" localSheetId="3" hidden="1">1</definedName>
    <definedName name="solver_rel68" localSheetId="3" hidden="1">1</definedName>
    <definedName name="solver_rel69" localSheetId="3" hidden="1">2</definedName>
    <definedName name="solver_rel7" localSheetId="3" hidden="1">3</definedName>
    <definedName name="solver_rel70" localSheetId="3" hidden="1">1</definedName>
    <definedName name="solver_rel71" localSheetId="3" hidden="1">1</definedName>
    <definedName name="solver_rel72" localSheetId="3" hidden="1">1</definedName>
    <definedName name="solver_rel73" localSheetId="3" hidden="1">1</definedName>
    <definedName name="solver_rel74" localSheetId="3" hidden="1">1</definedName>
    <definedName name="solver_rel75" localSheetId="3" hidden="1">3</definedName>
    <definedName name="solver_rel76" localSheetId="3" hidden="1">3</definedName>
    <definedName name="solver_rel77" localSheetId="3" hidden="1">3</definedName>
    <definedName name="solver_rel78" localSheetId="3" hidden="1">1</definedName>
    <definedName name="solver_rel79" localSheetId="3" hidden="1">3</definedName>
    <definedName name="solver_rel8" localSheetId="3" hidden="1">1</definedName>
    <definedName name="solver_rel80" localSheetId="3" hidden="1">1</definedName>
    <definedName name="solver_rel81" localSheetId="3" hidden="1">1</definedName>
    <definedName name="solver_rel82" localSheetId="3" hidden="1">1</definedName>
    <definedName name="solver_rel83" localSheetId="3" hidden="1">1</definedName>
    <definedName name="solver_rel84" localSheetId="3" hidden="1">1</definedName>
    <definedName name="solver_rel85" localSheetId="3" hidden="1">3</definedName>
    <definedName name="solver_rel86" localSheetId="3" hidden="1">1</definedName>
    <definedName name="solver_rel87" localSheetId="3" hidden="1">1</definedName>
    <definedName name="solver_rel88" localSheetId="3" hidden="1">3</definedName>
    <definedName name="solver_rel89" localSheetId="3" hidden="1">5</definedName>
    <definedName name="solver_rel9" localSheetId="3" hidden="1">1</definedName>
    <definedName name="solver_rel90" localSheetId="3" hidden="1">1</definedName>
    <definedName name="solver_rel91" localSheetId="3" hidden="1">3</definedName>
    <definedName name="solver_rel92" localSheetId="3" hidden="1">1</definedName>
    <definedName name="solver_rel93" localSheetId="3" hidden="1">3</definedName>
    <definedName name="solver_rel94" localSheetId="3" hidden="1">3</definedName>
    <definedName name="solver_rel95" localSheetId="3" hidden="1">3</definedName>
    <definedName name="solver_rel96" localSheetId="3" hidden="1">3</definedName>
    <definedName name="solver_rel97" localSheetId="3" hidden="1">3</definedName>
    <definedName name="solver_rel98" localSheetId="3" hidden="1">1</definedName>
    <definedName name="solver_rel99" localSheetId="3" hidden="1">1</definedName>
    <definedName name="solver_rhs1" localSheetId="3" hidden="1">'Total network optimization'!$D$110:$AA$110</definedName>
    <definedName name="solver_rhs10" localSheetId="3" hidden="1">'Total network optimization'!$D$279:$AA$279</definedName>
    <definedName name="solver_rhs100" localSheetId="3" hidden="1">'Total network optimization'!$E$20:$AA$20</definedName>
    <definedName name="solver_rhs101" localSheetId="3" hidden="1">'Total network optimization'!$D$94:$AA$94</definedName>
    <definedName name="solver_rhs102" localSheetId="3" hidden="1">'Total network optimization'!$E$31:$AA$31</definedName>
    <definedName name="solver_rhs103" localSheetId="3" hidden="1">'Total network optimization'!$E$40:$AA$40</definedName>
    <definedName name="solver_rhs104" localSheetId="3" hidden="1">'Total network optimization'!$D$98</definedName>
    <definedName name="solver_rhs105" localSheetId="3" hidden="1">'Total network optimization'!$E$62:$AA$62</definedName>
    <definedName name="solver_rhs106" localSheetId="3" hidden="1">'Total network optimization'!$E$41:$AA$41</definedName>
    <definedName name="solver_rhs107" localSheetId="3" hidden="1">'Total network optimization'!$E$75:$AA$75</definedName>
    <definedName name="solver_rhs108" localSheetId="3" hidden="1">'Total network optimization'!$E$96:$AA$96</definedName>
    <definedName name="solver_rhs109" localSheetId="3" hidden="1">'Total network optimization'!$E$117:$AA$117</definedName>
    <definedName name="solver_rhs11" localSheetId="3" hidden="1">28406</definedName>
    <definedName name="solver_rhs110" localSheetId="3" hidden="1">'Total network optimization'!$D$296:$AA$296</definedName>
    <definedName name="solver_rhs111" localSheetId="3" hidden="1">'Total network optimization'!$D$163</definedName>
    <definedName name="solver_rhs112" localSheetId="3" hidden="1">'Total network optimization'!$D$16:$AA$16</definedName>
    <definedName name="solver_rhs113" localSheetId="3" hidden="1">'Total network optimization'!$D$170</definedName>
    <definedName name="solver_rhs114" localSheetId="3" hidden="1">3750</definedName>
    <definedName name="solver_rhs115" localSheetId="3" hidden="1">'Total network optimization'!$D$71:$AA$71</definedName>
    <definedName name="solver_rhs116" localSheetId="3" hidden="1">'Total network optimization'!$E$63:$AA$63</definedName>
    <definedName name="solver_rhs117" localSheetId="3" hidden="1">'Total network optimization'!$D$28:$AA$28</definedName>
    <definedName name="solver_rhs118" localSheetId="3" hidden="1">'Total network optimization'!$D$198</definedName>
    <definedName name="solver_rhs119" localSheetId="3" hidden="1">'Total network optimization'!$D$187</definedName>
    <definedName name="solver_rhs12" localSheetId="3" hidden="1">'Total network optimization'!$D$17:$AA$17</definedName>
    <definedName name="solver_rhs120" localSheetId="3" hidden="1">'Total network optimization'!$D$177</definedName>
    <definedName name="solver_rhs121" localSheetId="3" hidden="1">2300</definedName>
    <definedName name="solver_rhs122" localSheetId="3" hidden="1">'Total network optimization'!$D$214</definedName>
    <definedName name="solver_rhs123" localSheetId="3" hidden="1">'Total network optimization'!$D$48:$AA$48</definedName>
    <definedName name="solver_rhs124" localSheetId="3" hidden="1">'Total network optimization'!$E$30:$AA$30</definedName>
    <definedName name="solver_rhs125" localSheetId="3" hidden="1">'Total network optimization'!$D$227:$AA$227</definedName>
    <definedName name="solver_rhs126" localSheetId="3" hidden="1">'Total network optimization'!$D$231</definedName>
    <definedName name="solver_rhs127" localSheetId="3" hidden="1">'Total network optimization'!$D$223</definedName>
    <definedName name="solver_rhs128" localSheetId="3" hidden="1">'Total network optimization'!$D$10</definedName>
    <definedName name="solver_rhs129" localSheetId="3" hidden="1">'Total network optimization'!$D$21</definedName>
    <definedName name="solver_rhs13" localSheetId="3" hidden="1">'Total network optimization'!$D$283:$AA$283</definedName>
    <definedName name="solver_rhs130" localSheetId="3" hidden="1">'Total network optimization'!$D$118</definedName>
    <definedName name="solver_rhs131" localSheetId="3" hidden="1">'Total network optimization'!$D$32</definedName>
    <definedName name="solver_rhs132" localSheetId="3" hidden="1">'Total network optimization'!$D$42</definedName>
    <definedName name="solver_rhs133" localSheetId="3" hidden="1">'Total network optimization'!$D$103:$AA$103</definedName>
    <definedName name="solver_rhs134" localSheetId="3" hidden="1">'Total network optimization'!$D$77</definedName>
    <definedName name="solver_rhs14" localSheetId="3" hidden="1">'Total network optimization'!$D$285:$AA$285</definedName>
    <definedName name="solver_rhs15" localSheetId="3" hidden="1">'Total network optimization'!$D$287:$AA$287</definedName>
    <definedName name="solver_rhs16" localSheetId="3" hidden="1">'Total network optimization'!$D$287:$AA$287</definedName>
    <definedName name="solver_rhs17" localSheetId="3" hidden="1">'Total network optimization'!$D$183:$AA$183</definedName>
    <definedName name="solver_rhs18" localSheetId="3" hidden="1">'Total network optimization'!$D$289:$AA$289</definedName>
    <definedName name="solver_rhs19" localSheetId="3" hidden="1">'Total network optimization'!$D$182:$AA$182</definedName>
    <definedName name="solver_rhs2" localSheetId="3" hidden="1">'Total network optimization'!$D$124:$AA$124</definedName>
    <definedName name="solver_rhs20" localSheetId="3" hidden="1">'Total network optimization'!$D$293:$AA$293</definedName>
    <definedName name="solver_rhs21" localSheetId="3" hidden="1">'Total network optimization'!$D$193:$AA$193</definedName>
    <definedName name="solver_rhs22" localSheetId="3" hidden="1">'Total network optimization'!$D$301:$AA$301</definedName>
    <definedName name="solver_rhs23" localSheetId="3" hidden="1">'Total network optimization'!$D$301:$AA$301</definedName>
    <definedName name="solver_rhs24" localSheetId="3" hidden="1">'Total network optimization'!$D$204:$AA$204</definedName>
    <definedName name="solver_rhs25" localSheetId="3" hidden="1">'Total network optimization'!$D$238:$AA$238</definedName>
    <definedName name="solver_rhs26" localSheetId="3" hidden="1">'Total network optimization'!$D$237:$AA$237</definedName>
    <definedName name="solver_rhs27" localSheetId="3" hidden="1">'Total network optimization'!$D$296:$AA$296</definedName>
    <definedName name="solver_rhs28" localSheetId="3" hidden="1">'Total network optimization'!$D$285:$AA$285</definedName>
    <definedName name="solver_rhs29" localSheetId="3" hidden="1">'Total network optimization'!$D$60:$AA$60</definedName>
    <definedName name="solver_rhs3" localSheetId="3" hidden="1">'Total network optimization'!$D$111:$AA$111</definedName>
    <definedName name="solver_rhs30" localSheetId="3" hidden="1">5000</definedName>
    <definedName name="solver_rhs31" localSheetId="3" hidden="1">'Total network optimization'!$D$27:$AA$27</definedName>
    <definedName name="solver_rhs32" localSheetId="3" hidden="1">'Total network optimization'!$D$5:$AA$5</definedName>
    <definedName name="solver_rhs33" localSheetId="3" hidden="1">'Total network optimization'!$D$279:$AA$279</definedName>
    <definedName name="solver_rhs34" localSheetId="3" hidden="1">'Total network optimization'!$E$97:$AA$97</definedName>
    <definedName name="solver_rhs35" localSheetId="3" hidden="1">'Total network optimization'!$D$73:$AA$73</definedName>
    <definedName name="solver_rhs36" localSheetId="3" hidden="1">'Total network optimization'!$D$137</definedName>
    <definedName name="solver_rhs37" localSheetId="3" hidden="1">33500</definedName>
    <definedName name="solver_rhs38" localSheetId="3" hidden="1">'Total network optimization'!$D$150:$AA$150</definedName>
    <definedName name="solver_rhs39" localSheetId="3" hidden="1">'Total network optimization'!$D$167:$AA$167</definedName>
    <definedName name="solver_rhs4" localSheetId="3" hidden="1">'Total network optimization'!$D$123:$AA$123</definedName>
    <definedName name="solver_rhs40" localSheetId="3" hidden="1">142.61</definedName>
    <definedName name="solver_rhs41" localSheetId="3" hidden="1">'Total network optimization'!$D$289:$AA$289</definedName>
    <definedName name="solver_rhs42" localSheetId="3" hidden="1">'Total network optimization'!$D$291:$AA$291</definedName>
    <definedName name="solver_rhs43" localSheetId="3" hidden="1">'Total network optimization'!$D$291:$AA$291</definedName>
    <definedName name="solver_rhs44" localSheetId="3" hidden="1">'Total network optimization'!$D$293:$AA$293</definedName>
    <definedName name="solver_rhs45" localSheetId="3" hidden="1">'Total network optimization'!$D$206:$AA$206</definedName>
    <definedName name="solver_rhs46" localSheetId="3" hidden="1">'Total network optimization'!$D$194:$AA$194</definedName>
    <definedName name="solver_rhs47" localSheetId="3" hidden="1">'Total network optimization'!$D$299:$AA$299</definedName>
    <definedName name="solver_rhs48" localSheetId="3" hidden="1">'Total network optimization'!$D$205:$AA$205</definedName>
    <definedName name="solver_rhs49" localSheetId="3" hidden="1">'Total network optimization'!$D$219:$AA$219</definedName>
    <definedName name="solver_rhs5" localSheetId="3" hidden="1">'Total network optimization'!$D$104:$AA$104</definedName>
    <definedName name="solver_rhs50" localSheetId="3" hidden="1">'Total network optimization'!$D$9:$AA$9</definedName>
    <definedName name="solver_rhs51" localSheetId="3" hidden="1">'Total network optimization'!$D$228:$AA$228</definedName>
    <definedName name="solver_rhs52" localSheetId="3" hidden="1">17000</definedName>
    <definedName name="solver_rhs53" localSheetId="3" hidden="1">'Total network optimization'!$D$299:$AA$299</definedName>
    <definedName name="solver_rhs54" localSheetId="3" hidden="1">11500</definedName>
    <definedName name="solver_rhs55" localSheetId="3" hidden="1">'Total network optimization'!$D$8:$AA$8</definedName>
    <definedName name="solver_rhs56" localSheetId="3" hidden="1">'Total network optimization'!$D$283:$AA$283</definedName>
    <definedName name="solver_rhs57" localSheetId="3" hidden="1">'Total network optimization'!$D$59:$AA$59</definedName>
    <definedName name="solver_rhs58" localSheetId="3" hidden="1">integer</definedName>
    <definedName name="solver_rhs59" localSheetId="3" hidden="1">'Total network optimization'!$D$99:$AA$99</definedName>
    <definedName name="solver_rhs6" localSheetId="3" hidden="1">'Total network optimization'!$D$126:$AA$126</definedName>
    <definedName name="solver_rhs60" localSheetId="3" hidden="1">'Total network optimization'!$D$72:$AA$72</definedName>
    <definedName name="solver_rhs61" localSheetId="3" hidden="1">'Total network optimization'!$D$112:$AA$112</definedName>
    <definedName name="solver_rhs62" localSheetId="3" hidden="1">'Total network optimization'!$D$90:$AA$90</definedName>
    <definedName name="solver_rhs63" localSheetId="3" hidden="1">binary</definedName>
    <definedName name="solver_rhs64" localSheetId="3" hidden="1">500</definedName>
    <definedName name="solver_rhs65" localSheetId="3" hidden="1">2700</definedName>
    <definedName name="solver_rhs66" localSheetId="3" hidden="1">'Total network optimization'!$E$76:$AA$76</definedName>
    <definedName name="solver_rhs67" localSheetId="3" hidden="1">'Total network optimization'!$D$64</definedName>
    <definedName name="solver_rhs68" localSheetId="3" hidden="1">'Total network optimization'!$D$113:$AA$113</definedName>
    <definedName name="solver_rhs69" localSheetId="3" hidden="1">'Total network optimization'!$X$80</definedName>
    <definedName name="solver_rhs7" localSheetId="3" hidden="1">'Total network optimization'!$D$131:$AA$131</definedName>
    <definedName name="solver_rhs70" localSheetId="3" hidden="1">9000</definedName>
    <definedName name="solver_rhs71" localSheetId="3" hidden="1">8000</definedName>
    <definedName name="solver_rhs72" localSheetId="3" hidden="1">3000</definedName>
    <definedName name="solver_rhs73" localSheetId="3" hidden="1">2300</definedName>
    <definedName name="solver_rhs74" localSheetId="3" hidden="1">'Total network optimization'!$D$155</definedName>
    <definedName name="solver_rhs75" localSheetId="3" hidden="1">'Total network optimization'!$D$218:$AA$218</definedName>
    <definedName name="solver_rhs76" localSheetId="3" hidden="1">'Total network optimization'!$D$239:$AA$239</definedName>
    <definedName name="solver_rhs77" localSheetId="3" hidden="1">'Total network optimization'!$D$244:$AA$244</definedName>
    <definedName name="solver_rhs78" localSheetId="3" hidden="1">1280</definedName>
    <definedName name="solver_rhs79" localSheetId="3" hidden="1">'Total network optimization'!$D$248:$AA$248</definedName>
    <definedName name="solver_rhs8" localSheetId="3" hidden="1">'Total network optimization'!$D$132:$AA$132</definedName>
    <definedName name="solver_rhs80" localSheetId="3" hidden="1">2700</definedName>
    <definedName name="solver_rhs81" localSheetId="3" hidden="1">'Total network optimization'!$D$84:$AA$84</definedName>
    <definedName name="solver_rhs82" localSheetId="3" hidden="1">1500</definedName>
    <definedName name="solver_rhs83" localSheetId="3" hidden="1">'Total network optimization'!$D$39:$AA$39</definedName>
    <definedName name="solver_rhs84" localSheetId="3" hidden="1">'Total network optimization'!$D$105:$AA$105</definedName>
    <definedName name="solver_rhs85" localSheetId="3" hidden="1">'Total network optimization'!$D$38:$AA$38</definedName>
    <definedName name="solver_rhs86" localSheetId="3" hidden="1">'Total network optimization'!$D$49:$AA$49</definedName>
    <definedName name="solver_rhs87" localSheetId="3" hidden="1">'Total network optimization'!$D$58:$AA$58</definedName>
    <definedName name="solver_rhs88" localSheetId="3" hidden="1">'Total network optimization'!$D$57:$AA$57</definedName>
    <definedName name="solver_rhs89" localSheetId="3" hidden="1">binary</definedName>
    <definedName name="solver_rhs9" localSheetId="3" hidden="1">'Total network optimization'!$D$151:$AA$151</definedName>
    <definedName name="solver_rhs90" localSheetId="3" hidden="1">'Total network optimization'!$D$83:$AA$83</definedName>
    <definedName name="solver_rhs91" localSheetId="3" hidden="1">'Total network optimization'!$E$19:$AA$19</definedName>
    <definedName name="solver_rhs92" localSheetId="3" hidden="1">'Total network optimization'!$D$6:$AA$6</definedName>
    <definedName name="solver_rhs93" localSheetId="3" hidden="1">500</definedName>
    <definedName name="solver_rhs94" localSheetId="3" hidden="1">'Total network optimization'!$E$116:$AA$116</definedName>
    <definedName name="solver_rhs95" localSheetId="3" hidden="1">'Total network optimization'!$D$70:$AA$70</definedName>
    <definedName name="solver_rhs96" localSheetId="3" hidden="1">'Total network optimization'!$D$82:$AA$82</definedName>
    <definedName name="solver_rhs97" localSheetId="3" hidden="1">'Total network optimization'!$D$88:$AA$88</definedName>
    <definedName name="solver_rhs98" localSheetId="3" hidden="1">'Total network optimization'!$D$95:$AA$95</definedName>
    <definedName name="solver_rhs99" localSheetId="3" hidden="1">'Total network optimization'!$D$89:$AA$89</definedName>
    <definedName name="solver_rlx" localSheetId="1" hidden="1">2</definedName>
    <definedName name="solver_rlx" localSheetId="3" hidden="1">2</definedName>
    <definedName name="solver_rsd" localSheetId="3" hidden="1">0</definedName>
    <definedName name="solver_scl" localSheetId="1" hidden="1">2</definedName>
    <definedName name="solver_scl" localSheetId="3" hidden="1">2</definedName>
    <definedName name="solver_sho" localSheetId="1" hidden="1">0</definedName>
    <definedName name="solver_sho" localSheetId="3" hidden="1">1</definedName>
    <definedName name="solver_ssz" localSheetId="3" hidden="1">100</definedName>
    <definedName name="solver_tim" localSheetId="1" hidden="1">2147483647</definedName>
    <definedName name="solver_tim" localSheetId="3" hidden="1">2147483647</definedName>
    <definedName name="solver_tol" localSheetId="1" hidden="1">0.05</definedName>
    <definedName name="solver_tol" localSheetId="3" hidden="1">0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customWorkbookViews>
    <customWorkbookView name="Mohammed A Y Abdallah (TRANSCO) - Personal View" guid="{164F6360-D646-4419-90D0-DC921EA06B9A}" mergeInterval="0" personalView="1" maximized="1" xWindow="-8" yWindow="-8" windowWidth="1696" windowHeight="1026" tabRatio="489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249" i="13" l="1"/>
  <c r="Z249" i="13"/>
  <c r="Y249" i="13"/>
  <c r="X249" i="13"/>
  <c r="W249" i="13"/>
  <c r="V249" i="13"/>
  <c r="U249" i="13"/>
  <c r="T249" i="13"/>
  <c r="S249" i="13"/>
  <c r="R249" i="13"/>
  <c r="Q249" i="13"/>
  <c r="P249" i="13"/>
  <c r="O249" i="13"/>
  <c r="N249" i="13"/>
  <c r="M249" i="13"/>
  <c r="L249" i="13"/>
  <c r="K249" i="13"/>
  <c r="J249" i="13"/>
  <c r="I249" i="13"/>
  <c r="H249" i="13"/>
  <c r="G249" i="13"/>
  <c r="F249" i="13"/>
  <c r="E249" i="13"/>
  <c r="D249" i="13"/>
  <c r="AA248" i="13"/>
  <c r="Z248" i="13"/>
  <c r="Y248" i="13"/>
  <c r="X248" i="13"/>
  <c r="W248" i="13"/>
  <c r="V248" i="13"/>
  <c r="U248" i="13"/>
  <c r="T248" i="13"/>
  <c r="S248" i="13"/>
  <c r="R248" i="13"/>
  <c r="Q248" i="13"/>
  <c r="P248" i="13"/>
  <c r="O248" i="13"/>
  <c r="N248" i="13"/>
  <c r="M248" i="13"/>
  <c r="L248" i="13"/>
  <c r="K248" i="13"/>
  <c r="J248" i="13"/>
  <c r="I248" i="13"/>
  <c r="H248" i="13"/>
  <c r="G248" i="13"/>
  <c r="F248" i="13"/>
  <c r="E248" i="13"/>
  <c r="D248" i="13"/>
  <c r="AA247" i="13"/>
  <c r="Z247" i="13"/>
  <c r="Y247" i="13"/>
  <c r="X247" i="13"/>
  <c r="W247" i="13"/>
  <c r="V247" i="13"/>
  <c r="U247" i="13"/>
  <c r="T247" i="13"/>
  <c r="S247" i="13"/>
  <c r="R247" i="13"/>
  <c r="Q247" i="13"/>
  <c r="P247" i="13"/>
  <c r="O247" i="13"/>
  <c r="N247" i="13"/>
  <c r="M247" i="13"/>
  <c r="L247" i="13"/>
  <c r="K247" i="13"/>
  <c r="J247" i="13"/>
  <c r="I247" i="13"/>
  <c r="H247" i="13"/>
  <c r="G247" i="13"/>
  <c r="F247" i="13"/>
  <c r="E247" i="13"/>
  <c r="D247" i="13"/>
  <c r="AA245" i="13"/>
  <c r="Z245" i="13"/>
  <c r="Y245" i="13"/>
  <c r="X245" i="13"/>
  <c r="W245" i="13"/>
  <c r="V245" i="13"/>
  <c r="U245" i="13"/>
  <c r="T245" i="13"/>
  <c r="S245" i="13"/>
  <c r="R245" i="13"/>
  <c r="Q245" i="13"/>
  <c r="P245" i="13"/>
  <c r="O245" i="13"/>
  <c r="N245" i="13"/>
  <c r="M245" i="13"/>
  <c r="L245" i="13"/>
  <c r="K245" i="13"/>
  <c r="J245" i="13"/>
  <c r="I245" i="13"/>
  <c r="H245" i="13"/>
  <c r="G245" i="13"/>
  <c r="F245" i="13"/>
  <c r="E245" i="13"/>
  <c r="D245" i="13"/>
  <c r="AA244" i="13"/>
  <c r="Z244" i="13"/>
  <c r="Y244" i="13"/>
  <c r="X244" i="13"/>
  <c r="W244" i="13"/>
  <c r="V244" i="13"/>
  <c r="U244" i="13"/>
  <c r="T244" i="13"/>
  <c r="S244" i="13"/>
  <c r="R244" i="13"/>
  <c r="Q244" i="13"/>
  <c r="P244" i="13"/>
  <c r="O244" i="13"/>
  <c r="N244" i="13"/>
  <c r="M244" i="13"/>
  <c r="L244" i="13"/>
  <c r="K244" i="13"/>
  <c r="J244" i="13"/>
  <c r="I244" i="13"/>
  <c r="H244" i="13"/>
  <c r="G244" i="13"/>
  <c r="F244" i="13"/>
  <c r="E244" i="13"/>
  <c r="D244" i="13"/>
  <c r="AA243" i="13"/>
  <c r="Z243" i="13"/>
  <c r="Y243" i="13"/>
  <c r="X243" i="13"/>
  <c r="W243" i="13"/>
  <c r="V243" i="13"/>
  <c r="U243" i="13"/>
  <c r="T243" i="13"/>
  <c r="S243" i="13"/>
  <c r="R243" i="13"/>
  <c r="Q243" i="13"/>
  <c r="P243" i="13"/>
  <c r="O243" i="13"/>
  <c r="N243" i="13"/>
  <c r="M243" i="13"/>
  <c r="L243" i="13"/>
  <c r="K243" i="13"/>
  <c r="J243" i="13"/>
  <c r="I243" i="13"/>
  <c r="H243" i="13"/>
  <c r="G243" i="13"/>
  <c r="F243" i="13"/>
  <c r="E243" i="13"/>
  <c r="D243" i="13"/>
  <c r="AA241" i="13"/>
  <c r="Z241" i="13"/>
  <c r="Y241" i="13"/>
  <c r="X241" i="13"/>
  <c r="W241" i="13"/>
  <c r="V241" i="13"/>
  <c r="U241" i="13"/>
  <c r="T241" i="13"/>
  <c r="S241" i="13"/>
  <c r="R241" i="13"/>
  <c r="Q241" i="13"/>
  <c r="P241" i="13"/>
  <c r="O241" i="13"/>
  <c r="N241" i="13"/>
  <c r="M241" i="13"/>
  <c r="L241" i="13"/>
  <c r="K241" i="13"/>
  <c r="J241" i="13"/>
  <c r="I241" i="13"/>
  <c r="H241" i="13"/>
  <c r="G241" i="13"/>
  <c r="F241" i="13"/>
  <c r="E241" i="13"/>
  <c r="D241" i="13"/>
  <c r="AA239" i="13"/>
  <c r="Z239" i="13"/>
  <c r="Y239" i="13"/>
  <c r="X239" i="13"/>
  <c r="W239" i="13"/>
  <c r="V239" i="13"/>
  <c r="U239" i="13"/>
  <c r="T239" i="13"/>
  <c r="S239" i="13"/>
  <c r="R239" i="13"/>
  <c r="Q239" i="13"/>
  <c r="P239" i="13"/>
  <c r="O239" i="13"/>
  <c r="N239" i="13"/>
  <c r="M239" i="13"/>
  <c r="L239" i="13"/>
  <c r="K239" i="13"/>
  <c r="J239" i="13"/>
  <c r="I239" i="13"/>
  <c r="H239" i="13"/>
  <c r="G239" i="13"/>
  <c r="F239" i="13"/>
  <c r="E239" i="13"/>
  <c r="D239" i="13"/>
  <c r="AA238" i="13"/>
  <c r="Z238" i="13"/>
  <c r="Y238" i="13"/>
  <c r="X238" i="13"/>
  <c r="W238" i="13"/>
  <c r="V238" i="13"/>
  <c r="U238" i="13"/>
  <c r="T238" i="13"/>
  <c r="S238" i="13"/>
  <c r="R238" i="13"/>
  <c r="Q238" i="13"/>
  <c r="P238" i="13"/>
  <c r="O238" i="13"/>
  <c r="N238" i="13"/>
  <c r="M238" i="13"/>
  <c r="L238" i="13"/>
  <c r="K238" i="13"/>
  <c r="J238" i="13"/>
  <c r="I238" i="13"/>
  <c r="H238" i="13"/>
  <c r="G238" i="13"/>
  <c r="F238" i="13"/>
  <c r="E238" i="13"/>
  <c r="D238" i="13"/>
  <c r="AA237" i="13"/>
  <c r="Z237" i="13"/>
  <c r="Y237" i="13"/>
  <c r="X237" i="13"/>
  <c r="W237" i="13"/>
  <c r="V237" i="13"/>
  <c r="U237" i="13"/>
  <c r="T237" i="13"/>
  <c r="S237" i="13"/>
  <c r="R237" i="13"/>
  <c r="Q237" i="13"/>
  <c r="P237" i="13"/>
  <c r="O237" i="13"/>
  <c r="N237" i="13"/>
  <c r="M237" i="13"/>
  <c r="L237" i="13"/>
  <c r="K237" i="13"/>
  <c r="J237" i="13"/>
  <c r="I237" i="13"/>
  <c r="H237" i="13"/>
  <c r="G237" i="13"/>
  <c r="F237" i="13"/>
  <c r="E237" i="13"/>
  <c r="D237" i="13"/>
  <c r="AA235" i="13"/>
  <c r="Z235" i="13"/>
  <c r="Y235" i="13"/>
  <c r="X235" i="13"/>
  <c r="W235" i="13"/>
  <c r="V235" i="13"/>
  <c r="U235" i="13"/>
  <c r="T235" i="13"/>
  <c r="S235" i="13"/>
  <c r="R235" i="13"/>
  <c r="Q235" i="13"/>
  <c r="P235" i="13"/>
  <c r="O235" i="13"/>
  <c r="N235" i="13"/>
  <c r="M235" i="13"/>
  <c r="L235" i="13"/>
  <c r="K235" i="13"/>
  <c r="J235" i="13"/>
  <c r="I235" i="13"/>
  <c r="H235" i="13"/>
  <c r="G235" i="13"/>
  <c r="F235" i="13"/>
  <c r="E235" i="13"/>
  <c r="D235" i="13"/>
  <c r="AA233" i="13"/>
  <c r="Z233" i="13"/>
  <c r="Y233" i="13"/>
  <c r="X233" i="13"/>
  <c r="W233" i="13"/>
  <c r="V233" i="13"/>
  <c r="U233" i="13"/>
  <c r="T233" i="13"/>
  <c r="S233" i="13"/>
  <c r="R233" i="13"/>
  <c r="Q233" i="13"/>
  <c r="P233" i="13"/>
  <c r="O233" i="13"/>
  <c r="N233" i="13"/>
  <c r="M233" i="13"/>
  <c r="L233" i="13"/>
  <c r="K233" i="13"/>
  <c r="J233" i="13"/>
  <c r="I233" i="13"/>
  <c r="H233" i="13"/>
  <c r="G233" i="13"/>
  <c r="F233" i="13"/>
  <c r="E233" i="13"/>
  <c r="D233" i="13"/>
  <c r="G231" i="13"/>
  <c r="AA224" i="13"/>
  <c r="Z224" i="13"/>
  <c r="Y224" i="13"/>
  <c r="X224" i="13"/>
  <c r="W224" i="13"/>
  <c r="V224" i="13"/>
  <c r="U224" i="13"/>
  <c r="T224" i="13"/>
  <c r="S224" i="13"/>
  <c r="R224" i="13"/>
  <c r="Q224" i="13"/>
  <c r="P224" i="13"/>
  <c r="O224" i="13"/>
  <c r="N224" i="13"/>
  <c r="M224" i="13"/>
  <c r="L224" i="13"/>
  <c r="K224" i="13"/>
  <c r="J224" i="13"/>
  <c r="I224" i="13"/>
  <c r="H224" i="13"/>
  <c r="G224" i="13"/>
  <c r="F224" i="13"/>
  <c r="E224" i="13"/>
  <c r="D224" i="13"/>
  <c r="G223" i="13"/>
  <c r="AA219" i="13"/>
  <c r="Z219" i="13"/>
  <c r="Y219" i="13"/>
  <c r="X219" i="13"/>
  <c r="W219" i="13"/>
  <c r="V219" i="13"/>
  <c r="U219" i="13"/>
  <c r="T219" i="13"/>
  <c r="S219" i="13"/>
  <c r="R219" i="13"/>
  <c r="Q219" i="13"/>
  <c r="P219" i="13"/>
  <c r="O219" i="13"/>
  <c r="N219" i="13"/>
  <c r="M219" i="13"/>
  <c r="L219" i="13"/>
  <c r="K219" i="13"/>
  <c r="J219" i="13"/>
  <c r="I219" i="13"/>
  <c r="H219" i="13"/>
  <c r="G219" i="13"/>
  <c r="F219" i="13"/>
  <c r="E219" i="13"/>
  <c r="D219" i="13"/>
  <c r="AA218" i="13"/>
  <c r="Z218" i="13"/>
  <c r="Y218" i="13"/>
  <c r="X218" i="13"/>
  <c r="W218" i="13"/>
  <c r="V218" i="13"/>
  <c r="U218" i="13"/>
  <c r="T218" i="13"/>
  <c r="S218" i="13"/>
  <c r="R218" i="13"/>
  <c r="Q218" i="13"/>
  <c r="P218" i="13"/>
  <c r="O218" i="13"/>
  <c r="N218" i="13"/>
  <c r="M218" i="13"/>
  <c r="L218" i="13"/>
  <c r="K218" i="13"/>
  <c r="J218" i="13"/>
  <c r="I218" i="13"/>
  <c r="H218" i="13"/>
  <c r="G218" i="13"/>
  <c r="F218" i="13"/>
  <c r="E218" i="13"/>
  <c r="D218" i="13"/>
  <c r="AA217" i="13"/>
  <c r="Z217" i="13"/>
  <c r="Y217" i="13"/>
  <c r="X217" i="13"/>
  <c r="W217" i="13"/>
  <c r="V217" i="13"/>
  <c r="U217" i="13"/>
  <c r="T217" i="13"/>
  <c r="S217" i="13"/>
  <c r="R217" i="13"/>
  <c r="Q217" i="13"/>
  <c r="P217" i="13"/>
  <c r="O217" i="13"/>
  <c r="N217" i="13"/>
  <c r="M217" i="13"/>
  <c r="L217" i="13"/>
  <c r="K217" i="13"/>
  <c r="J217" i="13"/>
  <c r="I217" i="13"/>
  <c r="H217" i="13"/>
  <c r="G217" i="13"/>
  <c r="F217" i="13"/>
  <c r="E217" i="13"/>
  <c r="D217" i="13"/>
  <c r="AA215" i="13"/>
  <c r="Z215" i="13"/>
  <c r="Y215" i="13"/>
  <c r="X215" i="13"/>
  <c r="W215" i="13"/>
  <c r="V215" i="13"/>
  <c r="U215" i="13"/>
  <c r="T215" i="13"/>
  <c r="S215" i="13"/>
  <c r="R215" i="13"/>
  <c r="Q215" i="13"/>
  <c r="P215" i="13"/>
  <c r="O215" i="13"/>
  <c r="N215" i="13"/>
  <c r="M215" i="13"/>
  <c r="L215" i="13"/>
  <c r="K215" i="13"/>
  <c r="J215" i="13"/>
  <c r="I215" i="13"/>
  <c r="H215" i="13"/>
  <c r="G215" i="13"/>
  <c r="F215" i="13"/>
  <c r="E215" i="13"/>
  <c r="D215" i="13"/>
  <c r="G214" i="13"/>
  <c r="AA210" i="13"/>
  <c r="Z210" i="13"/>
  <c r="Y210" i="13"/>
  <c r="X210" i="13"/>
  <c r="W210" i="13"/>
  <c r="V210" i="13"/>
  <c r="U210" i="13"/>
  <c r="T210" i="13"/>
  <c r="S210" i="13"/>
  <c r="R210" i="13"/>
  <c r="Q210" i="13"/>
  <c r="P210" i="13"/>
  <c r="O210" i="13"/>
  <c r="N210" i="13"/>
  <c r="M210" i="13"/>
  <c r="L210" i="13"/>
  <c r="K210" i="13"/>
  <c r="J210" i="13"/>
  <c r="I210" i="13"/>
  <c r="H210" i="13"/>
  <c r="G210" i="13"/>
  <c r="F210" i="13"/>
  <c r="E210" i="13"/>
  <c r="D210" i="13"/>
  <c r="AA208" i="13"/>
  <c r="Z208" i="13"/>
  <c r="Y208" i="13"/>
  <c r="X208" i="13"/>
  <c r="W208" i="13"/>
  <c r="V208" i="13"/>
  <c r="U208" i="13"/>
  <c r="T208" i="13"/>
  <c r="S208" i="13"/>
  <c r="R208" i="13"/>
  <c r="Q208" i="13"/>
  <c r="P208" i="13"/>
  <c r="O208" i="13"/>
  <c r="N208" i="13"/>
  <c r="M208" i="13"/>
  <c r="L208" i="13"/>
  <c r="K208" i="13"/>
  <c r="J208" i="13"/>
  <c r="I208" i="13"/>
  <c r="H208" i="13"/>
  <c r="G208" i="13"/>
  <c r="F208" i="13"/>
  <c r="E208" i="13"/>
  <c r="D208" i="13"/>
  <c r="AA206" i="13"/>
  <c r="Z206" i="13"/>
  <c r="Y206" i="13"/>
  <c r="X206" i="13"/>
  <c r="W206" i="13"/>
  <c r="V206" i="13"/>
  <c r="U206" i="13"/>
  <c r="T206" i="13"/>
  <c r="S206" i="13"/>
  <c r="R206" i="13"/>
  <c r="Q206" i="13"/>
  <c r="P206" i="13"/>
  <c r="O206" i="13"/>
  <c r="N206" i="13"/>
  <c r="M206" i="13"/>
  <c r="L206" i="13"/>
  <c r="K206" i="13"/>
  <c r="J206" i="13"/>
  <c r="I206" i="13"/>
  <c r="H206" i="13"/>
  <c r="G206" i="13"/>
  <c r="F206" i="13"/>
  <c r="E206" i="13"/>
  <c r="D206" i="13"/>
  <c r="AA205" i="13"/>
  <c r="Z205" i="13"/>
  <c r="Y205" i="13"/>
  <c r="X205" i="13"/>
  <c r="W205" i="13"/>
  <c r="V205" i="13"/>
  <c r="U205" i="13"/>
  <c r="T205" i="13"/>
  <c r="S205" i="13"/>
  <c r="R205" i="13"/>
  <c r="Q205" i="13"/>
  <c r="P205" i="13"/>
  <c r="O205" i="13"/>
  <c r="N205" i="13"/>
  <c r="M205" i="13"/>
  <c r="L205" i="13"/>
  <c r="K205" i="13"/>
  <c r="J205" i="13"/>
  <c r="I205" i="13"/>
  <c r="H205" i="13"/>
  <c r="G205" i="13"/>
  <c r="F205" i="13"/>
  <c r="E205" i="13"/>
  <c r="D205" i="13"/>
  <c r="AA204" i="13"/>
  <c r="Z204" i="13"/>
  <c r="Y204" i="13"/>
  <c r="X204" i="13"/>
  <c r="W204" i="13"/>
  <c r="V204" i="13"/>
  <c r="U204" i="13"/>
  <c r="T204" i="13"/>
  <c r="S204" i="13"/>
  <c r="R204" i="13"/>
  <c r="Q204" i="13"/>
  <c r="P204" i="13"/>
  <c r="O204" i="13"/>
  <c r="N204" i="13"/>
  <c r="M204" i="13"/>
  <c r="L204" i="13"/>
  <c r="K204" i="13"/>
  <c r="J204" i="13"/>
  <c r="I204" i="13"/>
  <c r="H204" i="13"/>
  <c r="G204" i="13"/>
  <c r="F204" i="13"/>
  <c r="E204" i="13"/>
  <c r="D204" i="13"/>
  <c r="AA202" i="13"/>
  <c r="Z202" i="13"/>
  <c r="Y202" i="13"/>
  <c r="X202" i="13"/>
  <c r="W202" i="13"/>
  <c r="V202" i="13"/>
  <c r="U202" i="13"/>
  <c r="T202" i="13"/>
  <c r="S202" i="13"/>
  <c r="R202" i="13"/>
  <c r="Q202" i="13"/>
  <c r="P202" i="13"/>
  <c r="O202" i="13"/>
  <c r="N202" i="13"/>
  <c r="M202" i="13"/>
  <c r="L202" i="13"/>
  <c r="K202" i="13"/>
  <c r="J202" i="13"/>
  <c r="I202" i="13"/>
  <c r="H202" i="13"/>
  <c r="G202" i="13"/>
  <c r="F202" i="13"/>
  <c r="E202" i="13"/>
  <c r="D202" i="13"/>
  <c r="AA200" i="13"/>
  <c r="Z200" i="13"/>
  <c r="Y200" i="13"/>
  <c r="X200" i="13"/>
  <c r="W200" i="13"/>
  <c r="V200" i="13"/>
  <c r="U200" i="13"/>
  <c r="T200" i="13"/>
  <c r="S200" i="13"/>
  <c r="R200" i="13"/>
  <c r="Q200" i="13"/>
  <c r="P200" i="13"/>
  <c r="O200" i="13"/>
  <c r="N200" i="13"/>
  <c r="M200" i="13"/>
  <c r="L200" i="13"/>
  <c r="K200" i="13"/>
  <c r="J200" i="13"/>
  <c r="I200" i="13"/>
  <c r="H200" i="13"/>
  <c r="G200" i="13"/>
  <c r="F200" i="13"/>
  <c r="E200" i="13"/>
  <c r="D200" i="13"/>
  <c r="G198" i="13"/>
  <c r="AA194" i="13"/>
  <c r="Z194" i="13"/>
  <c r="Y194" i="13"/>
  <c r="X194" i="13"/>
  <c r="W194" i="13"/>
  <c r="V194" i="13"/>
  <c r="U194" i="13"/>
  <c r="T194" i="13"/>
  <c r="S194" i="13"/>
  <c r="R194" i="13"/>
  <c r="Q194" i="13"/>
  <c r="P194" i="13"/>
  <c r="O194" i="13"/>
  <c r="N194" i="13"/>
  <c r="M194" i="13"/>
  <c r="L194" i="13"/>
  <c r="K194" i="13"/>
  <c r="J194" i="13"/>
  <c r="I194" i="13"/>
  <c r="H194" i="13"/>
  <c r="G194" i="13"/>
  <c r="F194" i="13"/>
  <c r="E194" i="13"/>
  <c r="D194" i="13"/>
  <c r="AA193" i="13"/>
  <c r="Z193" i="13"/>
  <c r="Y193" i="13"/>
  <c r="X193" i="13"/>
  <c r="W193" i="13"/>
  <c r="V193" i="13"/>
  <c r="U193" i="13"/>
  <c r="T193" i="13"/>
  <c r="S193" i="13"/>
  <c r="R193" i="13"/>
  <c r="Q193" i="13"/>
  <c r="P193" i="13"/>
  <c r="O193" i="13"/>
  <c r="N193" i="13"/>
  <c r="M193" i="13"/>
  <c r="L193" i="13"/>
  <c r="K193" i="13"/>
  <c r="J193" i="13"/>
  <c r="I193" i="13"/>
  <c r="H193" i="13"/>
  <c r="G193" i="13"/>
  <c r="F193" i="13"/>
  <c r="E193" i="13"/>
  <c r="D193" i="13"/>
  <c r="AA191" i="13"/>
  <c r="Z191" i="13"/>
  <c r="Y191" i="13"/>
  <c r="X191" i="13"/>
  <c r="W191" i="13"/>
  <c r="V191" i="13"/>
  <c r="U191" i="13"/>
  <c r="T191" i="13"/>
  <c r="S191" i="13"/>
  <c r="R191" i="13"/>
  <c r="Q191" i="13"/>
  <c r="P191" i="13"/>
  <c r="O191" i="13"/>
  <c r="N191" i="13"/>
  <c r="M191" i="13"/>
  <c r="L191" i="13"/>
  <c r="K191" i="13"/>
  <c r="J191" i="13"/>
  <c r="I191" i="13"/>
  <c r="H191" i="13"/>
  <c r="G191" i="13"/>
  <c r="F191" i="13"/>
  <c r="E191" i="13"/>
  <c r="D191" i="13"/>
  <c r="AA189" i="13"/>
  <c r="Z189" i="13"/>
  <c r="Y189" i="13"/>
  <c r="X189" i="13"/>
  <c r="W189" i="13"/>
  <c r="V189" i="13"/>
  <c r="U189" i="13"/>
  <c r="T189" i="13"/>
  <c r="S189" i="13"/>
  <c r="R189" i="13"/>
  <c r="Q189" i="13"/>
  <c r="P189" i="13"/>
  <c r="O189" i="13"/>
  <c r="N189" i="13"/>
  <c r="M189" i="13"/>
  <c r="L189" i="13"/>
  <c r="K189" i="13"/>
  <c r="J189" i="13"/>
  <c r="I189" i="13"/>
  <c r="H189" i="13"/>
  <c r="G189" i="13"/>
  <c r="F189" i="13"/>
  <c r="E189" i="13"/>
  <c r="D189" i="13"/>
  <c r="G187" i="13"/>
  <c r="AA183" i="13"/>
  <c r="Z183" i="13"/>
  <c r="Y183" i="13"/>
  <c r="X183" i="13"/>
  <c r="W183" i="13"/>
  <c r="V183" i="13"/>
  <c r="U183" i="13"/>
  <c r="T183" i="13"/>
  <c r="S183" i="13"/>
  <c r="R183" i="13"/>
  <c r="Q183" i="13"/>
  <c r="P183" i="13"/>
  <c r="O183" i="13"/>
  <c r="N183" i="13"/>
  <c r="M183" i="13"/>
  <c r="L183" i="13"/>
  <c r="K183" i="13"/>
  <c r="J183" i="13"/>
  <c r="I183" i="13"/>
  <c r="H183" i="13"/>
  <c r="G183" i="13"/>
  <c r="F183" i="13"/>
  <c r="E183" i="13"/>
  <c r="D183" i="13"/>
  <c r="AA182" i="13"/>
  <c r="Z182" i="13"/>
  <c r="Y182" i="13"/>
  <c r="X182" i="13"/>
  <c r="W182" i="13"/>
  <c r="V182" i="13"/>
  <c r="U182" i="13"/>
  <c r="T182" i="13"/>
  <c r="S182" i="13"/>
  <c r="R182" i="13"/>
  <c r="Q182" i="13"/>
  <c r="P182" i="13"/>
  <c r="O182" i="13"/>
  <c r="N182" i="13"/>
  <c r="M182" i="13"/>
  <c r="L182" i="13"/>
  <c r="K182" i="13"/>
  <c r="J182" i="13"/>
  <c r="I182" i="13"/>
  <c r="H182" i="13"/>
  <c r="G182" i="13"/>
  <c r="F182" i="13"/>
  <c r="E182" i="13"/>
  <c r="D182" i="13"/>
  <c r="AA180" i="13"/>
  <c r="Z180" i="13"/>
  <c r="Y180" i="13"/>
  <c r="X180" i="13"/>
  <c r="W180" i="13"/>
  <c r="V180" i="13"/>
  <c r="U180" i="13"/>
  <c r="T180" i="13"/>
  <c r="S180" i="13"/>
  <c r="R180" i="13"/>
  <c r="Q180" i="13"/>
  <c r="P180" i="13"/>
  <c r="O180" i="13"/>
  <c r="N180" i="13"/>
  <c r="M180" i="13"/>
  <c r="L180" i="13"/>
  <c r="K180" i="13"/>
  <c r="J180" i="13"/>
  <c r="I180" i="13"/>
  <c r="H180" i="13"/>
  <c r="G180" i="13"/>
  <c r="F180" i="13"/>
  <c r="E180" i="13"/>
  <c r="D180" i="13"/>
  <c r="AA178" i="13"/>
  <c r="Z178" i="13"/>
  <c r="Y178" i="13"/>
  <c r="X178" i="13"/>
  <c r="W178" i="13"/>
  <c r="V178" i="13"/>
  <c r="U178" i="13"/>
  <c r="T178" i="13"/>
  <c r="S178" i="13"/>
  <c r="R178" i="13"/>
  <c r="Q178" i="13"/>
  <c r="P178" i="13"/>
  <c r="O178" i="13"/>
  <c r="N178" i="13"/>
  <c r="M178" i="13"/>
  <c r="L178" i="13"/>
  <c r="K178" i="13"/>
  <c r="J178" i="13"/>
  <c r="I178" i="13"/>
  <c r="H178" i="13"/>
  <c r="G178" i="13"/>
  <c r="F178" i="13"/>
  <c r="E178" i="13"/>
  <c r="D178" i="13"/>
  <c r="G177" i="13"/>
  <c r="AA173" i="13"/>
  <c r="Z173" i="13"/>
  <c r="Y173" i="13"/>
  <c r="X173" i="13"/>
  <c r="W173" i="13"/>
  <c r="V173" i="13"/>
  <c r="U173" i="13"/>
  <c r="T173" i="13"/>
  <c r="S173" i="13"/>
  <c r="R173" i="13"/>
  <c r="Q173" i="13"/>
  <c r="P173" i="13"/>
  <c r="O173" i="13"/>
  <c r="N173" i="13"/>
  <c r="M173" i="13"/>
  <c r="L173" i="13"/>
  <c r="K173" i="13"/>
  <c r="J173" i="13"/>
  <c r="I173" i="13"/>
  <c r="H173" i="13"/>
  <c r="G173" i="13"/>
  <c r="F173" i="13"/>
  <c r="E173" i="13"/>
  <c r="D173" i="13"/>
  <c r="R172" i="13"/>
  <c r="AA171" i="13"/>
  <c r="Z171" i="13"/>
  <c r="Y171" i="13"/>
  <c r="X171" i="13"/>
  <c r="W171" i="13"/>
  <c r="V171" i="13"/>
  <c r="U171" i="13"/>
  <c r="T171" i="13"/>
  <c r="S171" i="13"/>
  <c r="R171" i="13"/>
  <c r="Q171" i="13"/>
  <c r="P171" i="13"/>
  <c r="O171" i="13"/>
  <c r="N171" i="13"/>
  <c r="M171" i="13"/>
  <c r="L171" i="13"/>
  <c r="K171" i="13"/>
  <c r="J171" i="13"/>
  <c r="I171" i="13"/>
  <c r="H171" i="13"/>
  <c r="G171" i="13"/>
  <c r="F171" i="13"/>
  <c r="E171" i="13"/>
  <c r="D171" i="13"/>
  <c r="G170" i="13"/>
  <c r="AA167" i="13"/>
  <c r="Z167" i="13"/>
  <c r="Y167" i="13"/>
  <c r="X167" i="13"/>
  <c r="W167" i="13"/>
  <c r="V167" i="13"/>
  <c r="U167" i="13"/>
  <c r="T167" i="13"/>
  <c r="S167" i="13"/>
  <c r="R167" i="13"/>
  <c r="Q167" i="13"/>
  <c r="P167" i="13"/>
  <c r="O167" i="13"/>
  <c r="N167" i="13"/>
  <c r="M167" i="13"/>
  <c r="L167" i="13"/>
  <c r="K167" i="13"/>
  <c r="J167" i="13"/>
  <c r="I167" i="13"/>
  <c r="H167" i="13"/>
  <c r="G167" i="13"/>
  <c r="F167" i="13"/>
  <c r="E167" i="13"/>
  <c r="D167" i="13"/>
  <c r="AA166" i="13"/>
  <c r="Z166" i="13"/>
  <c r="Y166" i="13"/>
  <c r="X166" i="13"/>
  <c r="W166" i="13"/>
  <c r="V166" i="13"/>
  <c r="U166" i="13"/>
  <c r="T166" i="13"/>
  <c r="S166" i="13"/>
  <c r="R166" i="13"/>
  <c r="Q166" i="13"/>
  <c r="P166" i="13"/>
  <c r="O166" i="13"/>
  <c r="N166" i="13"/>
  <c r="M166" i="13"/>
  <c r="L166" i="13"/>
  <c r="K166" i="13"/>
  <c r="J166" i="13"/>
  <c r="I166" i="13"/>
  <c r="H166" i="13"/>
  <c r="G166" i="13"/>
  <c r="F166" i="13"/>
  <c r="E166" i="13"/>
  <c r="D166" i="13"/>
  <c r="AA164" i="13"/>
  <c r="Z164" i="13"/>
  <c r="Y164" i="13"/>
  <c r="X164" i="13"/>
  <c r="W164" i="13"/>
  <c r="V164" i="13"/>
  <c r="U164" i="13"/>
  <c r="T164" i="13"/>
  <c r="S164" i="13"/>
  <c r="R164" i="13"/>
  <c r="Q164" i="13"/>
  <c r="P164" i="13"/>
  <c r="O164" i="13"/>
  <c r="N164" i="13"/>
  <c r="M164" i="13"/>
  <c r="L164" i="13"/>
  <c r="K164" i="13"/>
  <c r="J164" i="13"/>
  <c r="I164" i="13"/>
  <c r="H164" i="13"/>
  <c r="G164" i="13"/>
  <c r="F164" i="13"/>
  <c r="E164" i="13"/>
  <c r="D164" i="13"/>
  <c r="G163" i="13"/>
  <c r="AA159" i="13"/>
  <c r="Z159" i="13"/>
  <c r="Y159" i="13"/>
  <c r="X159" i="13"/>
  <c r="W159" i="13"/>
  <c r="V159" i="13"/>
  <c r="U159" i="13"/>
  <c r="T159" i="13"/>
  <c r="S159" i="13"/>
  <c r="R159" i="13"/>
  <c r="Q159" i="13"/>
  <c r="P159" i="13"/>
  <c r="O159" i="13"/>
  <c r="N159" i="13"/>
  <c r="M159" i="13"/>
  <c r="L159" i="13"/>
  <c r="K159" i="13"/>
  <c r="J159" i="13"/>
  <c r="I159" i="13"/>
  <c r="H159" i="13"/>
  <c r="G159" i="13"/>
  <c r="F159" i="13"/>
  <c r="E159" i="13"/>
  <c r="D159" i="13"/>
  <c r="AA157" i="13"/>
  <c r="Z157" i="13"/>
  <c r="Y157" i="13"/>
  <c r="X157" i="13"/>
  <c r="W157" i="13"/>
  <c r="V157" i="13"/>
  <c r="U157" i="13"/>
  <c r="T157" i="13"/>
  <c r="S157" i="13"/>
  <c r="R157" i="13"/>
  <c r="Q157" i="13"/>
  <c r="P157" i="13"/>
  <c r="O157" i="13"/>
  <c r="N157" i="13"/>
  <c r="M157" i="13"/>
  <c r="L157" i="13"/>
  <c r="K157" i="13"/>
  <c r="J157" i="13"/>
  <c r="I157" i="13"/>
  <c r="H157" i="13"/>
  <c r="G157" i="13"/>
  <c r="F157" i="13"/>
  <c r="E157" i="13"/>
  <c r="D157" i="13"/>
  <c r="G155" i="13"/>
  <c r="AA151" i="13"/>
  <c r="Z151" i="13"/>
  <c r="Y151" i="13"/>
  <c r="X151" i="13"/>
  <c r="W151" i="13"/>
  <c r="V151" i="13"/>
  <c r="U151" i="13"/>
  <c r="T151" i="13"/>
  <c r="S151" i="13"/>
  <c r="R151" i="13"/>
  <c r="Q151" i="13"/>
  <c r="P151" i="13"/>
  <c r="O151" i="13"/>
  <c r="N151" i="13"/>
  <c r="M151" i="13"/>
  <c r="L151" i="13"/>
  <c r="K151" i="13"/>
  <c r="J151" i="13"/>
  <c r="I151" i="13"/>
  <c r="H151" i="13"/>
  <c r="G151" i="13"/>
  <c r="F151" i="13"/>
  <c r="E151" i="13"/>
  <c r="D151" i="13"/>
  <c r="AA150" i="13"/>
  <c r="Z150" i="13"/>
  <c r="Y150" i="13"/>
  <c r="X150" i="13"/>
  <c r="W150" i="13"/>
  <c r="V150" i="13"/>
  <c r="U150" i="13"/>
  <c r="T150" i="13"/>
  <c r="S150" i="13"/>
  <c r="R150" i="13"/>
  <c r="Q150" i="13"/>
  <c r="P150" i="13"/>
  <c r="O150" i="13"/>
  <c r="N150" i="13"/>
  <c r="M150" i="13"/>
  <c r="L150" i="13"/>
  <c r="K150" i="13"/>
  <c r="J150" i="13"/>
  <c r="I150" i="13"/>
  <c r="H150" i="13"/>
  <c r="G150" i="13"/>
  <c r="F150" i="13"/>
  <c r="E150" i="13"/>
  <c r="D150" i="13"/>
  <c r="AA148" i="13"/>
  <c r="Z148" i="13"/>
  <c r="Y148" i="13"/>
  <c r="X148" i="13"/>
  <c r="W148" i="13"/>
  <c r="V148" i="13"/>
  <c r="U148" i="13"/>
  <c r="T148" i="13"/>
  <c r="S148" i="13"/>
  <c r="R148" i="13"/>
  <c r="Q148" i="13"/>
  <c r="P148" i="13"/>
  <c r="O148" i="13"/>
  <c r="N148" i="13"/>
  <c r="M148" i="13"/>
  <c r="L148" i="13"/>
  <c r="K148" i="13"/>
  <c r="J148" i="13"/>
  <c r="I148" i="13"/>
  <c r="H148" i="13"/>
  <c r="G148" i="13"/>
  <c r="F148" i="13"/>
  <c r="E148" i="13"/>
  <c r="D148" i="13"/>
  <c r="D147" i="13"/>
  <c r="G145" i="13"/>
  <c r="AA144" i="13"/>
  <c r="Z144" i="13"/>
  <c r="Y144" i="13"/>
  <c r="X144" i="13"/>
  <c r="W144" i="13"/>
  <c r="V144" i="13"/>
  <c r="U144" i="13"/>
  <c r="T144" i="13"/>
  <c r="S144" i="13"/>
  <c r="R144" i="13"/>
  <c r="Q144" i="13"/>
  <c r="P144" i="13"/>
  <c r="O144" i="13"/>
  <c r="N144" i="13"/>
  <c r="M144" i="13"/>
  <c r="L144" i="13"/>
  <c r="K144" i="13"/>
  <c r="J144" i="13"/>
  <c r="I144" i="13"/>
  <c r="H144" i="13"/>
  <c r="G144" i="13"/>
  <c r="F144" i="13"/>
  <c r="E144" i="13"/>
  <c r="D144" i="13"/>
  <c r="AA143" i="13"/>
  <c r="Z143" i="13"/>
  <c r="Y143" i="13"/>
  <c r="X143" i="13"/>
  <c r="W143" i="13"/>
  <c r="V143" i="13"/>
  <c r="U143" i="13"/>
  <c r="T143" i="13"/>
  <c r="S143" i="13"/>
  <c r="R143" i="13"/>
  <c r="Q143" i="13"/>
  <c r="P143" i="13"/>
  <c r="O143" i="13"/>
  <c r="N143" i="13"/>
  <c r="M143" i="13"/>
  <c r="L143" i="13"/>
  <c r="K143" i="13"/>
  <c r="J143" i="13"/>
  <c r="I143" i="13"/>
  <c r="H143" i="13"/>
  <c r="G143" i="13"/>
  <c r="F143" i="13"/>
  <c r="E143" i="13"/>
  <c r="D143" i="13"/>
  <c r="AA141" i="13"/>
  <c r="Z141" i="13"/>
  <c r="Y141" i="13"/>
  <c r="X141" i="13"/>
  <c r="W141" i="13"/>
  <c r="V141" i="13"/>
  <c r="U141" i="13"/>
  <c r="T141" i="13"/>
  <c r="S141" i="13"/>
  <c r="R141" i="13"/>
  <c r="Q141" i="13"/>
  <c r="P141" i="13"/>
  <c r="O141" i="13"/>
  <c r="N141" i="13"/>
  <c r="M141" i="13"/>
  <c r="L141" i="13"/>
  <c r="K141" i="13"/>
  <c r="J141" i="13"/>
  <c r="I141" i="13"/>
  <c r="H141" i="13"/>
  <c r="G141" i="13"/>
  <c r="F141" i="13"/>
  <c r="E141" i="13"/>
  <c r="D141" i="13"/>
  <c r="AA139" i="13"/>
  <c r="Z139" i="13"/>
  <c r="Y139" i="13"/>
  <c r="X139" i="13"/>
  <c r="W139" i="13"/>
  <c r="V139" i="13"/>
  <c r="U139" i="13"/>
  <c r="T139" i="13"/>
  <c r="S139" i="13"/>
  <c r="R139" i="13"/>
  <c r="Q139" i="13"/>
  <c r="P139" i="13"/>
  <c r="O139" i="13"/>
  <c r="N139" i="13"/>
  <c r="M139" i="13"/>
  <c r="L139" i="13"/>
  <c r="K139" i="13"/>
  <c r="J139" i="13"/>
  <c r="I139" i="13"/>
  <c r="H139" i="13"/>
  <c r="G139" i="13"/>
  <c r="F139" i="13"/>
  <c r="E139" i="13"/>
  <c r="D139" i="13"/>
  <c r="G137" i="13"/>
  <c r="AA133" i="13"/>
  <c r="Z133" i="13"/>
  <c r="Y133" i="13"/>
  <c r="X133" i="13"/>
  <c r="W133" i="13"/>
  <c r="V133" i="13"/>
  <c r="U133" i="13"/>
  <c r="T133" i="13"/>
  <c r="S133" i="13"/>
  <c r="R133" i="13"/>
  <c r="Q133" i="13"/>
  <c r="P133" i="13"/>
  <c r="O133" i="13"/>
  <c r="N133" i="13"/>
  <c r="M133" i="13"/>
  <c r="L133" i="13"/>
  <c r="K133" i="13"/>
  <c r="J133" i="13"/>
  <c r="I133" i="13"/>
  <c r="H133" i="13"/>
  <c r="G133" i="13"/>
  <c r="F133" i="13"/>
  <c r="E133" i="13"/>
  <c r="D133" i="13"/>
  <c r="AA132" i="13"/>
  <c r="Z132" i="13"/>
  <c r="Y132" i="13"/>
  <c r="X132" i="13"/>
  <c r="W132" i="13"/>
  <c r="V132" i="13"/>
  <c r="U132" i="13"/>
  <c r="T132" i="13"/>
  <c r="S132" i="13"/>
  <c r="R132" i="13"/>
  <c r="Q132" i="13"/>
  <c r="P132" i="13"/>
  <c r="O132" i="13"/>
  <c r="N132" i="13"/>
  <c r="M132" i="13"/>
  <c r="L132" i="13"/>
  <c r="K132" i="13"/>
  <c r="J132" i="13"/>
  <c r="I132" i="13"/>
  <c r="H132" i="13"/>
  <c r="G132" i="13"/>
  <c r="F132" i="13"/>
  <c r="E132" i="13"/>
  <c r="D132" i="13"/>
  <c r="AA131" i="13"/>
  <c r="Z131" i="13"/>
  <c r="Y131" i="13"/>
  <c r="X131" i="13"/>
  <c r="W131" i="13"/>
  <c r="V131" i="13"/>
  <c r="U131" i="13"/>
  <c r="T131" i="13"/>
  <c r="S131" i="13"/>
  <c r="R131" i="13"/>
  <c r="Q131" i="13"/>
  <c r="P131" i="13"/>
  <c r="O131" i="13"/>
  <c r="N131" i="13"/>
  <c r="M131" i="13"/>
  <c r="L131" i="13"/>
  <c r="K131" i="13"/>
  <c r="J131" i="13"/>
  <c r="I131" i="13"/>
  <c r="H131" i="13"/>
  <c r="G131" i="13"/>
  <c r="F131" i="13"/>
  <c r="E131" i="13"/>
  <c r="D131" i="13"/>
  <c r="AA129" i="13"/>
  <c r="Z129" i="13"/>
  <c r="Y129" i="13"/>
  <c r="X129" i="13"/>
  <c r="W129" i="13"/>
  <c r="V129" i="13"/>
  <c r="U129" i="13"/>
  <c r="T129" i="13"/>
  <c r="S129" i="13"/>
  <c r="R129" i="13"/>
  <c r="Q129" i="13"/>
  <c r="P129" i="13"/>
  <c r="O129" i="13"/>
  <c r="N129" i="13"/>
  <c r="M129" i="13"/>
  <c r="L129" i="13"/>
  <c r="K129" i="13"/>
  <c r="J129" i="13"/>
  <c r="I129" i="13"/>
  <c r="H129" i="13"/>
  <c r="G129" i="13"/>
  <c r="F129" i="13"/>
  <c r="E129" i="13"/>
  <c r="D129" i="13"/>
  <c r="AA127" i="13"/>
  <c r="S128" i="13" s="1"/>
  <c r="Z127" i="13"/>
  <c r="Y127" i="13"/>
  <c r="X127" i="13"/>
  <c r="W127" i="13"/>
  <c r="V127" i="13"/>
  <c r="U127" i="13"/>
  <c r="T127" i="13"/>
  <c r="S127" i="13"/>
  <c r="R127" i="13"/>
  <c r="Q127" i="13"/>
  <c r="P127" i="13"/>
  <c r="O127" i="13"/>
  <c r="N127" i="13"/>
  <c r="M127" i="13"/>
  <c r="L127" i="13"/>
  <c r="K127" i="13"/>
  <c r="J127" i="13"/>
  <c r="I127" i="13"/>
  <c r="H127" i="13"/>
  <c r="G127" i="13"/>
  <c r="F127" i="13"/>
  <c r="E127" i="13"/>
  <c r="D127" i="13"/>
  <c r="AA126" i="13"/>
  <c r="Z126" i="13"/>
  <c r="Y126" i="13"/>
  <c r="X126" i="13"/>
  <c r="W126" i="13"/>
  <c r="V126" i="13"/>
  <c r="U126" i="13"/>
  <c r="T126" i="13"/>
  <c r="S126" i="13"/>
  <c r="R126" i="13"/>
  <c r="Q126" i="13"/>
  <c r="P126" i="13"/>
  <c r="O126" i="13"/>
  <c r="N126" i="13"/>
  <c r="M126" i="13"/>
  <c r="L126" i="13"/>
  <c r="K126" i="13"/>
  <c r="J126" i="13"/>
  <c r="I126" i="13"/>
  <c r="H126" i="13"/>
  <c r="G126" i="13"/>
  <c r="F126" i="13"/>
  <c r="E126" i="13"/>
  <c r="D126" i="13"/>
  <c r="AA125" i="13"/>
  <c r="Z125" i="13"/>
  <c r="Y125" i="13"/>
  <c r="X125" i="13"/>
  <c r="W125" i="13"/>
  <c r="V125" i="13"/>
  <c r="U125" i="13"/>
  <c r="T125" i="13"/>
  <c r="S125" i="13"/>
  <c r="R125" i="13"/>
  <c r="Q125" i="13"/>
  <c r="P125" i="13"/>
  <c r="O125" i="13"/>
  <c r="N125" i="13"/>
  <c r="M125" i="13"/>
  <c r="L125" i="13"/>
  <c r="K125" i="13"/>
  <c r="J125" i="13"/>
  <c r="I125" i="13"/>
  <c r="H125" i="13"/>
  <c r="G125" i="13"/>
  <c r="F125" i="13"/>
  <c r="E125" i="13"/>
  <c r="D125" i="13"/>
  <c r="AA124" i="13"/>
  <c r="Z124" i="13"/>
  <c r="Y124" i="13"/>
  <c r="X124" i="13"/>
  <c r="W124" i="13"/>
  <c r="V124" i="13"/>
  <c r="U124" i="13"/>
  <c r="T124" i="13"/>
  <c r="S124" i="13"/>
  <c r="R124" i="13"/>
  <c r="Q124" i="13"/>
  <c r="P124" i="13"/>
  <c r="O124" i="13"/>
  <c r="N124" i="13"/>
  <c r="M124" i="13"/>
  <c r="L124" i="13"/>
  <c r="K124" i="13"/>
  <c r="J124" i="13"/>
  <c r="I124" i="13"/>
  <c r="H124" i="13"/>
  <c r="G124" i="13"/>
  <c r="F124" i="13"/>
  <c r="E124" i="13"/>
  <c r="D124" i="13"/>
  <c r="AA123" i="13"/>
  <c r="Z123" i="13"/>
  <c r="Y123" i="13"/>
  <c r="X123" i="13"/>
  <c r="W123" i="13"/>
  <c r="V123" i="13"/>
  <c r="U123" i="13"/>
  <c r="T123" i="13"/>
  <c r="S123" i="13"/>
  <c r="R123" i="13"/>
  <c r="Q123" i="13"/>
  <c r="P123" i="13"/>
  <c r="O123" i="13"/>
  <c r="N123" i="13"/>
  <c r="M123" i="13"/>
  <c r="L123" i="13"/>
  <c r="K123" i="13"/>
  <c r="J123" i="13"/>
  <c r="I123" i="13"/>
  <c r="H123" i="13"/>
  <c r="G123" i="13"/>
  <c r="F123" i="13"/>
  <c r="E123" i="13"/>
  <c r="D123" i="13"/>
  <c r="AA122" i="13"/>
  <c r="Z122" i="13"/>
  <c r="Y122" i="13"/>
  <c r="X122" i="13"/>
  <c r="W122" i="13"/>
  <c r="V122" i="13"/>
  <c r="U122" i="13"/>
  <c r="T122" i="13"/>
  <c r="S122" i="13"/>
  <c r="R122" i="13"/>
  <c r="Q122" i="13"/>
  <c r="P122" i="13"/>
  <c r="O122" i="13"/>
  <c r="N122" i="13"/>
  <c r="M122" i="13"/>
  <c r="L122" i="13"/>
  <c r="K122" i="13"/>
  <c r="J122" i="13"/>
  <c r="I122" i="13"/>
  <c r="H122" i="13"/>
  <c r="G122" i="13"/>
  <c r="F122" i="13"/>
  <c r="E122" i="13"/>
  <c r="D122" i="13"/>
  <c r="M121" i="13"/>
  <c r="I121" i="13"/>
  <c r="AA120" i="13"/>
  <c r="Z120" i="13"/>
  <c r="Y120" i="13"/>
  <c r="X120" i="13"/>
  <c r="W120" i="13"/>
  <c r="V120" i="13"/>
  <c r="U120" i="13"/>
  <c r="T120" i="13"/>
  <c r="S120" i="13"/>
  <c r="R120" i="13"/>
  <c r="Q120" i="13"/>
  <c r="P120" i="13"/>
  <c r="O120" i="13"/>
  <c r="N120" i="13"/>
  <c r="M120" i="13"/>
  <c r="L120" i="13"/>
  <c r="K120" i="13"/>
  <c r="J120" i="13"/>
  <c r="I120" i="13"/>
  <c r="H120" i="13"/>
  <c r="G120" i="13"/>
  <c r="F120" i="13"/>
  <c r="E120" i="13"/>
  <c r="D120" i="13"/>
  <c r="AA119" i="13"/>
  <c r="S121" i="13" s="1"/>
  <c r="Z119" i="13"/>
  <c r="Y119" i="13"/>
  <c r="X119" i="13"/>
  <c r="W119" i="13"/>
  <c r="V119" i="13"/>
  <c r="U119" i="13"/>
  <c r="T119" i="13"/>
  <c r="S119" i="13"/>
  <c r="R119" i="13"/>
  <c r="Q119" i="13"/>
  <c r="P119" i="13"/>
  <c r="O119" i="13"/>
  <c r="N119" i="13"/>
  <c r="M119" i="13"/>
  <c r="L119" i="13"/>
  <c r="K119" i="13"/>
  <c r="J119" i="13"/>
  <c r="I119" i="13"/>
  <c r="H119" i="13"/>
  <c r="G119" i="13"/>
  <c r="F119" i="13"/>
  <c r="E119" i="13"/>
  <c r="D119" i="13"/>
  <c r="I118" i="13"/>
  <c r="AA117" i="13"/>
  <c r="Z117" i="13"/>
  <c r="Y117" i="13"/>
  <c r="X117" i="13"/>
  <c r="W117" i="13"/>
  <c r="V117" i="13"/>
  <c r="U117" i="13"/>
  <c r="T117" i="13"/>
  <c r="S117" i="13"/>
  <c r="R117" i="13"/>
  <c r="Q117" i="13"/>
  <c r="P117" i="13"/>
  <c r="O117" i="13"/>
  <c r="N117" i="13"/>
  <c r="M117" i="13"/>
  <c r="L117" i="13"/>
  <c r="K117" i="13"/>
  <c r="J117" i="13"/>
  <c r="I117" i="13"/>
  <c r="H117" i="13"/>
  <c r="G117" i="13"/>
  <c r="F117" i="13"/>
  <c r="E117" i="13"/>
  <c r="AA116" i="13"/>
  <c r="Z116" i="13"/>
  <c r="Y116" i="13"/>
  <c r="X116" i="13"/>
  <c r="W116" i="13"/>
  <c r="V116" i="13"/>
  <c r="U116" i="13"/>
  <c r="T116" i="13"/>
  <c r="S116" i="13"/>
  <c r="R116" i="13"/>
  <c r="Q116" i="13"/>
  <c r="P116" i="13"/>
  <c r="O116" i="13"/>
  <c r="N116" i="13"/>
  <c r="M116" i="13"/>
  <c r="L116" i="13"/>
  <c r="K116" i="13"/>
  <c r="J116" i="13"/>
  <c r="I116" i="13"/>
  <c r="H116" i="13"/>
  <c r="G116" i="13"/>
  <c r="F116" i="13"/>
  <c r="E116" i="13"/>
  <c r="AA113" i="13"/>
  <c r="Z113" i="13"/>
  <c r="Y113" i="13"/>
  <c r="X113" i="13"/>
  <c r="W113" i="13"/>
  <c r="V113" i="13"/>
  <c r="U113" i="13"/>
  <c r="T113" i="13"/>
  <c r="S113" i="13"/>
  <c r="R113" i="13"/>
  <c r="Q113" i="13"/>
  <c r="P113" i="13"/>
  <c r="O113" i="13"/>
  <c r="N113" i="13"/>
  <c r="M113" i="13"/>
  <c r="L113" i="13"/>
  <c r="K113" i="13"/>
  <c r="J113" i="13"/>
  <c r="I113" i="13"/>
  <c r="H113" i="13"/>
  <c r="G113" i="13"/>
  <c r="F113" i="13"/>
  <c r="E113" i="13"/>
  <c r="D113" i="13"/>
  <c r="AA112" i="13"/>
  <c r="Z112" i="13"/>
  <c r="Y112" i="13"/>
  <c r="X112" i="13"/>
  <c r="W112" i="13"/>
  <c r="V112" i="13"/>
  <c r="U112" i="13"/>
  <c r="T112" i="13"/>
  <c r="S112" i="13"/>
  <c r="R112" i="13"/>
  <c r="Q112" i="13"/>
  <c r="P112" i="13"/>
  <c r="O112" i="13"/>
  <c r="N112" i="13"/>
  <c r="M112" i="13"/>
  <c r="L112" i="13"/>
  <c r="K112" i="13"/>
  <c r="J112" i="13"/>
  <c r="I112" i="13"/>
  <c r="H112" i="13"/>
  <c r="G112" i="13"/>
  <c r="F112" i="13"/>
  <c r="E112" i="13"/>
  <c r="D112" i="13"/>
  <c r="AA111" i="13"/>
  <c r="Z111" i="13"/>
  <c r="Y111" i="13"/>
  <c r="X111" i="13"/>
  <c r="W111" i="13"/>
  <c r="V111" i="13"/>
  <c r="U111" i="13"/>
  <c r="T111" i="13"/>
  <c r="S111" i="13"/>
  <c r="R111" i="13"/>
  <c r="Q111" i="13"/>
  <c r="P111" i="13"/>
  <c r="O111" i="13"/>
  <c r="N111" i="13"/>
  <c r="M111" i="13"/>
  <c r="L111" i="13"/>
  <c r="K111" i="13"/>
  <c r="J111" i="13"/>
  <c r="I111" i="13"/>
  <c r="H111" i="13"/>
  <c r="G111" i="13"/>
  <c r="F111" i="13"/>
  <c r="E111" i="13"/>
  <c r="D111" i="13"/>
  <c r="AA110" i="13"/>
  <c r="Z110" i="13"/>
  <c r="Y110" i="13"/>
  <c r="X110" i="13"/>
  <c r="W110" i="13"/>
  <c r="V110" i="13"/>
  <c r="U110" i="13"/>
  <c r="T110" i="13"/>
  <c r="S110" i="13"/>
  <c r="R110" i="13"/>
  <c r="Q110" i="13"/>
  <c r="P110" i="13"/>
  <c r="O110" i="13"/>
  <c r="N110" i="13"/>
  <c r="M110" i="13"/>
  <c r="L110" i="13"/>
  <c r="K110" i="13"/>
  <c r="J110" i="13"/>
  <c r="I110" i="13"/>
  <c r="H110" i="13"/>
  <c r="G110" i="13"/>
  <c r="F110" i="13"/>
  <c r="E110" i="13"/>
  <c r="D110" i="13"/>
  <c r="AA109" i="13"/>
  <c r="Z109" i="13"/>
  <c r="Y109" i="13"/>
  <c r="X109" i="13"/>
  <c r="W109" i="13"/>
  <c r="V109" i="13"/>
  <c r="U109" i="13"/>
  <c r="T109" i="13"/>
  <c r="S109" i="13"/>
  <c r="R109" i="13"/>
  <c r="Q109" i="13"/>
  <c r="P109" i="13"/>
  <c r="O109" i="13"/>
  <c r="N109" i="13"/>
  <c r="M109" i="13"/>
  <c r="L109" i="13"/>
  <c r="K109" i="13"/>
  <c r="J109" i="13"/>
  <c r="I109" i="13"/>
  <c r="H109" i="13"/>
  <c r="G109" i="13"/>
  <c r="F109" i="13"/>
  <c r="E109" i="13"/>
  <c r="D109" i="13"/>
  <c r="AA107" i="13"/>
  <c r="Z107" i="13"/>
  <c r="Y107" i="13"/>
  <c r="X107" i="13"/>
  <c r="W107" i="13"/>
  <c r="V107" i="13"/>
  <c r="U107" i="13"/>
  <c r="T107" i="13"/>
  <c r="S107" i="13"/>
  <c r="R107" i="13"/>
  <c r="Q107" i="13"/>
  <c r="P107" i="13"/>
  <c r="O107" i="13"/>
  <c r="N107" i="13"/>
  <c r="M107" i="13"/>
  <c r="L107" i="13"/>
  <c r="K107" i="13"/>
  <c r="J107" i="13"/>
  <c r="I107" i="13"/>
  <c r="H107" i="13"/>
  <c r="G107" i="13"/>
  <c r="F107" i="13"/>
  <c r="E107" i="13"/>
  <c r="D107" i="13"/>
  <c r="AA106" i="13"/>
  <c r="Z106" i="13"/>
  <c r="Y106" i="13"/>
  <c r="X106" i="13"/>
  <c r="W106" i="13"/>
  <c r="V106" i="13"/>
  <c r="U106" i="13"/>
  <c r="T106" i="13"/>
  <c r="S106" i="13"/>
  <c r="R106" i="13"/>
  <c r="Q106" i="13"/>
  <c r="P106" i="13"/>
  <c r="O106" i="13"/>
  <c r="N106" i="13"/>
  <c r="M106" i="13"/>
  <c r="L106" i="13"/>
  <c r="K106" i="13"/>
  <c r="J106" i="13"/>
  <c r="I106" i="13"/>
  <c r="H106" i="13"/>
  <c r="G106" i="13"/>
  <c r="F106" i="13"/>
  <c r="E106" i="13"/>
  <c r="D106" i="13"/>
  <c r="AA104" i="13"/>
  <c r="Z104" i="13"/>
  <c r="Y104" i="13"/>
  <c r="X104" i="13"/>
  <c r="W104" i="13"/>
  <c r="V104" i="13"/>
  <c r="U104" i="13"/>
  <c r="T104" i="13"/>
  <c r="S104" i="13"/>
  <c r="R104" i="13"/>
  <c r="Q104" i="13"/>
  <c r="P104" i="13"/>
  <c r="O104" i="13"/>
  <c r="N104" i="13"/>
  <c r="M104" i="13"/>
  <c r="L104" i="13"/>
  <c r="K104" i="13"/>
  <c r="J104" i="13"/>
  <c r="I104" i="13"/>
  <c r="H104" i="13"/>
  <c r="G104" i="13"/>
  <c r="F104" i="13"/>
  <c r="E104" i="13"/>
  <c r="D104" i="13"/>
  <c r="AA103" i="13"/>
  <c r="Z103" i="13"/>
  <c r="Y103" i="13"/>
  <c r="X103" i="13"/>
  <c r="W103" i="13"/>
  <c r="V103" i="13"/>
  <c r="U103" i="13"/>
  <c r="T103" i="13"/>
  <c r="S103" i="13"/>
  <c r="R103" i="13"/>
  <c r="Q103" i="13"/>
  <c r="P103" i="13"/>
  <c r="O103" i="13"/>
  <c r="N103" i="13"/>
  <c r="M103" i="13"/>
  <c r="L103" i="13"/>
  <c r="K103" i="13"/>
  <c r="J103" i="13"/>
  <c r="I103" i="13"/>
  <c r="H103" i="13"/>
  <c r="G103" i="13"/>
  <c r="F103" i="13"/>
  <c r="E103" i="13"/>
  <c r="D103" i="13"/>
  <c r="AA102" i="13"/>
  <c r="Z102" i="13"/>
  <c r="Y102" i="13"/>
  <c r="X102" i="13"/>
  <c r="W102" i="13"/>
  <c r="V102" i="13"/>
  <c r="U102" i="13"/>
  <c r="T102" i="13"/>
  <c r="S102" i="13"/>
  <c r="R102" i="13"/>
  <c r="Q102" i="13"/>
  <c r="P102" i="13"/>
  <c r="O102" i="13"/>
  <c r="N102" i="13"/>
  <c r="M102" i="13"/>
  <c r="L102" i="13"/>
  <c r="K102" i="13"/>
  <c r="J102" i="13"/>
  <c r="I102" i="13"/>
  <c r="H102" i="13"/>
  <c r="G102" i="13"/>
  <c r="F102" i="13"/>
  <c r="E102" i="13"/>
  <c r="D102" i="13"/>
  <c r="AA101" i="13"/>
  <c r="Z101" i="13"/>
  <c r="Y101" i="13"/>
  <c r="X101" i="13"/>
  <c r="W101" i="13"/>
  <c r="V101" i="13"/>
  <c r="U101" i="13"/>
  <c r="T101" i="13"/>
  <c r="S101" i="13"/>
  <c r="R101" i="13"/>
  <c r="Q101" i="13"/>
  <c r="P101" i="13"/>
  <c r="O101" i="13"/>
  <c r="N101" i="13"/>
  <c r="M101" i="13"/>
  <c r="L101" i="13"/>
  <c r="K101" i="13"/>
  <c r="J101" i="13"/>
  <c r="I101" i="13"/>
  <c r="H101" i="13"/>
  <c r="G101" i="13"/>
  <c r="F101" i="13"/>
  <c r="E101" i="13"/>
  <c r="D101" i="13"/>
  <c r="AA100" i="13"/>
  <c r="Z100" i="13"/>
  <c r="Y100" i="13"/>
  <c r="X100" i="13"/>
  <c r="W100" i="13"/>
  <c r="V100" i="13"/>
  <c r="U100" i="13"/>
  <c r="T100" i="13"/>
  <c r="S100" i="13"/>
  <c r="R100" i="13"/>
  <c r="Q100" i="13"/>
  <c r="P100" i="13"/>
  <c r="O100" i="13"/>
  <c r="N100" i="13"/>
  <c r="M100" i="13"/>
  <c r="L100" i="13"/>
  <c r="K100" i="13"/>
  <c r="J100" i="13"/>
  <c r="I100" i="13"/>
  <c r="H100" i="13"/>
  <c r="G100" i="13"/>
  <c r="F100" i="13"/>
  <c r="E100" i="13"/>
  <c r="D100" i="13"/>
  <c r="I98" i="13"/>
  <c r="AA97" i="13"/>
  <c r="Z97" i="13"/>
  <c r="Y97" i="13"/>
  <c r="X97" i="13"/>
  <c r="W97" i="13"/>
  <c r="V97" i="13"/>
  <c r="U97" i="13"/>
  <c r="T97" i="13"/>
  <c r="S97" i="13"/>
  <c r="R97" i="13"/>
  <c r="Q97" i="13"/>
  <c r="P97" i="13"/>
  <c r="O97" i="13"/>
  <c r="N97" i="13"/>
  <c r="M97" i="13"/>
  <c r="L97" i="13"/>
  <c r="K97" i="13"/>
  <c r="J97" i="13"/>
  <c r="I97" i="13"/>
  <c r="H97" i="13"/>
  <c r="G97" i="13"/>
  <c r="F97" i="13"/>
  <c r="E97" i="13"/>
  <c r="AA96" i="13"/>
  <c r="Z96" i="13"/>
  <c r="Y96" i="13"/>
  <c r="X96" i="13"/>
  <c r="W96" i="13"/>
  <c r="V96" i="13"/>
  <c r="U96" i="13"/>
  <c r="T96" i="13"/>
  <c r="S96" i="13"/>
  <c r="R96" i="13"/>
  <c r="Q96" i="13"/>
  <c r="P96" i="13"/>
  <c r="O96" i="13"/>
  <c r="N96" i="13"/>
  <c r="M96" i="13"/>
  <c r="L96" i="13"/>
  <c r="K96" i="13"/>
  <c r="J96" i="13"/>
  <c r="I96" i="13"/>
  <c r="H96" i="13"/>
  <c r="G96" i="13"/>
  <c r="F96" i="13"/>
  <c r="E96" i="13"/>
  <c r="AA95" i="13"/>
  <c r="Z95" i="13"/>
  <c r="Y95" i="13"/>
  <c r="X95" i="13"/>
  <c r="W95" i="13"/>
  <c r="V95" i="13"/>
  <c r="U95" i="13"/>
  <c r="T95" i="13"/>
  <c r="S95" i="13"/>
  <c r="R95" i="13"/>
  <c r="Q95" i="13"/>
  <c r="P95" i="13"/>
  <c r="O95" i="13"/>
  <c r="N95" i="13"/>
  <c r="M95" i="13"/>
  <c r="L95" i="13"/>
  <c r="K95" i="13"/>
  <c r="J95" i="13"/>
  <c r="I95" i="13"/>
  <c r="H95" i="13"/>
  <c r="G95" i="13"/>
  <c r="F95" i="13"/>
  <c r="E95" i="13"/>
  <c r="D95" i="13"/>
  <c r="AA94" i="13"/>
  <c r="Z94" i="13"/>
  <c r="Y94" i="13"/>
  <c r="X94" i="13"/>
  <c r="W94" i="13"/>
  <c r="V94" i="13"/>
  <c r="U94" i="13"/>
  <c r="T94" i="13"/>
  <c r="S94" i="13"/>
  <c r="R94" i="13"/>
  <c r="Q94" i="13"/>
  <c r="P94" i="13"/>
  <c r="O94" i="13"/>
  <c r="N94" i="13"/>
  <c r="M94" i="13"/>
  <c r="L94" i="13"/>
  <c r="K94" i="13"/>
  <c r="J94" i="13"/>
  <c r="I94" i="13"/>
  <c r="H94" i="13"/>
  <c r="G94" i="13"/>
  <c r="F94" i="13"/>
  <c r="E94" i="13"/>
  <c r="D94" i="13"/>
  <c r="AA93" i="13"/>
  <c r="Z93" i="13"/>
  <c r="Y93" i="13"/>
  <c r="X93" i="13"/>
  <c r="W93" i="13"/>
  <c r="V93" i="13"/>
  <c r="U93" i="13"/>
  <c r="T93" i="13"/>
  <c r="S93" i="13"/>
  <c r="R93" i="13"/>
  <c r="Q93" i="13"/>
  <c r="P93" i="13"/>
  <c r="O93" i="13"/>
  <c r="N93" i="13"/>
  <c r="M93" i="13"/>
  <c r="L93" i="13"/>
  <c r="K93" i="13"/>
  <c r="J93" i="13"/>
  <c r="I93" i="13"/>
  <c r="H93" i="13"/>
  <c r="G93" i="13"/>
  <c r="F93" i="13"/>
  <c r="E93" i="13"/>
  <c r="D93" i="13"/>
  <c r="AA92" i="13"/>
  <c r="Z92" i="13"/>
  <c r="Y92" i="13"/>
  <c r="X92" i="13"/>
  <c r="W92" i="13"/>
  <c r="V92" i="13"/>
  <c r="U92" i="13"/>
  <c r="T92" i="13"/>
  <c r="S92" i="13"/>
  <c r="R92" i="13"/>
  <c r="Q92" i="13"/>
  <c r="P92" i="13"/>
  <c r="O92" i="13"/>
  <c r="N92" i="13"/>
  <c r="M92" i="13"/>
  <c r="L92" i="13"/>
  <c r="K92" i="13"/>
  <c r="J92" i="13"/>
  <c r="I92" i="13"/>
  <c r="H92" i="13"/>
  <c r="G92" i="13"/>
  <c r="F92" i="13"/>
  <c r="E92" i="13"/>
  <c r="D92" i="13"/>
  <c r="AA91" i="13"/>
  <c r="Z91" i="13"/>
  <c r="Y91" i="13"/>
  <c r="X91" i="13"/>
  <c r="W91" i="13"/>
  <c r="V91" i="13"/>
  <c r="U91" i="13"/>
  <c r="T91" i="13"/>
  <c r="S91" i="13"/>
  <c r="R91" i="13"/>
  <c r="Q91" i="13"/>
  <c r="P91" i="13"/>
  <c r="O91" i="13"/>
  <c r="N91" i="13"/>
  <c r="M91" i="13"/>
  <c r="L91" i="13"/>
  <c r="K91" i="13"/>
  <c r="J91" i="13"/>
  <c r="I91" i="13"/>
  <c r="H91" i="13"/>
  <c r="G91" i="13"/>
  <c r="F91" i="13"/>
  <c r="E91" i="13"/>
  <c r="D91" i="13"/>
  <c r="AA90" i="13"/>
  <c r="Z90" i="13"/>
  <c r="Y90" i="13"/>
  <c r="X90" i="13"/>
  <c r="W90" i="13"/>
  <c r="V90" i="13"/>
  <c r="U90" i="13"/>
  <c r="T90" i="13"/>
  <c r="S90" i="13"/>
  <c r="R90" i="13"/>
  <c r="Q90" i="13"/>
  <c r="P90" i="13"/>
  <c r="O90" i="13"/>
  <c r="N90" i="13"/>
  <c r="M90" i="13"/>
  <c r="L90" i="13"/>
  <c r="K90" i="13"/>
  <c r="J90" i="13"/>
  <c r="I90" i="13"/>
  <c r="H90" i="13"/>
  <c r="G90" i="13"/>
  <c r="F90" i="13"/>
  <c r="E90" i="13"/>
  <c r="D90" i="13"/>
  <c r="AA89" i="13"/>
  <c r="Z89" i="13"/>
  <c r="Y89" i="13"/>
  <c r="X89" i="13"/>
  <c r="W89" i="13"/>
  <c r="V89" i="13"/>
  <c r="U89" i="13"/>
  <c r="T89" i="13"/>
  <c r="S89" i="13"/>
  <c r="R89" i="13"/>
  <c r="Q89" i="13"/>
  <c r="P89" i="13"/>
  <c r="O89" i="13"/>
  <c r="N89" i="13"/>
  <c r="M89" i="13"/>
  <c r="L89" i="13"/>
  <c r="K89" i="13"/>
  <c r="J89" i="13"/>
  <c r="I89" i="13"/>
  <c r="H89" i="13"/>
  <c r="G89" i="13"/>
  <c r="F89" i="13"/>
  <c r="E89" i="13"/>
  <c r="D89" i="13"/>
  <c r="AA88" i="13"/>
  <c r="Z88" i="13"/>
  <c r="Y88" i="13"/>
  <c r="X88" i="13"/>
  <c r="W88" i="13"/>
  <c r="V88" i="13"/>
  <c r="U88" i="13"/>
  <c r="T88" i="13"/>
  <c r="S88" i="13"/>
  <c r="R88" i="13"/>
  <c r="Q88" i="13"/>
  <c r="P88" i="13"/>
  <c r="O88" i="13"/>
  <c r="N88" i="13"/>
  <c r="M88" i="13"/>
  <c r="L88" i="13"/>
  <c r="K88" i="13"/>
  <c r="J88" i="13"/>
  <c r="I88" i="13"/>
  <c r="H88" i="13"/>
  <c r="G88" i="13"/>
  <c r="F88" i="13"/>
  <c r="E88" i="13"/>
  <c r="D88" i="13"/>
  <c r="AA87" i="13"/>
  <c r="Z87" i="13"/>
  <c r="Y87" i="13"/>
  <c r="X87" i="13"/>
  <c r="W87" i="13"/>
  <c r="V87" i="13"/>
  <c r="U87" i="13"/>
  <c r="T87" i="13"/>
  <c r="S87" i="13"/>
  <c r="R87" i="13"/>
  <c r="Q87" i="13"/>
  <c r="P87" i="13"/>
  <c r="O87" i="13"/>
  <c r="N87" i="13"/>
  <c r="M87" i="13"/>
  <c r="L87" i="13"/>
  <c r="K87" i="13"/>
  <c r="J87" i="13"/>
  <c r="I87" i="13"/>
  <c r="H87" i="13"/>
  <c r="G87" i="13"/>
  <c r="F87" i="13"/>
  <c r="E87" i="13"/>
  <c r="D87" i="13"/>
  <c r="AA86" i="13"/>
  <c r="Z86" i="13"/>
  <c r="Y86" i="13"/>
  <c r="X86" i="13"/>
  <c r="W86" i="13"/>
  <c r="V86" i="13"/>
  <c r="U86" i="13"/>
  <c r="T86" i="13"/>
  <c r="S86" i="13"/>
  <c r="R86" i="13"/>
  <c r="Q86" i="13"/>
  <c r="P86" i="13"/>
  <c r="O86" i="13"/>
  <c r="N86" i="13"/>
  <c r="M86" i="13"/>
  <c r="L86" i="13"/>
  <c r="K86" i="13"/>
  <c r="J86" i="13"/>
  <c r="I86" i="13"/>
  <c r="H86" i="13"/>
  <c r="G86" i="13"/>
  <c r="F86" i="13"/>
  <c r="E86" i="13"/>
  <c r="D86" i="13"/>
  <c r="AA85" i="13"/>
  <c r="Z85" i="13"/>
  <c r="Y85" i="13"/>
  <c r="X85" i="13"/>
  <c r="W85" i="13"/>
  <c r="V85" i="13"/>
  <c r="U85" i="13"/>
  <c r="T85" i="13"/>
  <c r="S85" i="13"/>
  <c r="R85" i="13"/>
  <c r="Q85" i="13"/>
  <c r="P85" i="13"/>
  <c r="O85" i="13"/>
  <c r="N85" i="13"/>
  <c r="M85" i="13"/>
  <c r="L85" i="13"/>
  <c r="K85" i="13"/>
  <c r="J85" i="13"/>
  <c r="I85" i="13"/>
  <c r="H85" i="13"/>
  <c r="G85" i="13"/>
  <c r="F85" i="13"/>
  <c r="E85" i="13"/>
  <c r="D85" i="13"/>
  <c r="AA83" i="13"/>
  <c r="Z83" i="13"/>
  <c r="Y83" i="13"/>
  <c r="X83" i="13"/>
  <c r="W83" i="13"/>
  <c r="V83" i="13"/>
  <c r="U83" i="13"/>
  <c r="T83" i="13"/>
  <c r="S83" i="13"/>
  <c r="R83" i="13"/>
  <c r="Q83" i="13"/>
  <c r="P83" i="13"/>
  <c r="O83" i="13"/>
  <c r="N83" i="13"/>
  <c r="M83" i="13"/>
  <c r="L83" i="13"/>
  <c r="K83" i="13"/>
  <c r="J83" i="13"/>
  <c r="I83" i="13"/>
  <c r="H83" i="13"/>
  <c r="G83" i="13"/>
  <c r="F83" i="13"/>
  <c r="E83" i="13"/>
  <c r="D83" i="13"/>
  <c r="AA82" i="13"/>
  <c r="Z82" i="13"/>
  <c r="Y82" i="13"/>
  <c r="X82" i="13"/>
  <c r="W82" i="13"/>
  <c r="V82" i="13"/>
  <c r="U82" i="13"/>
  <c r="T82" i="13"/>
  <c r="S82" i="13"/>
  <c r="R82" i="13"/>
  <c r="Q82" i="13"/>
  <c r="P82" i="13"/>
  <c r="O82" i="13"/>
  <c r="N82" i="13"/>
  <c r="M82" i="13"/>
  <c r="L82" i="13"/>
  <c r="K82" i="13"/>
  <c r="J82" i="13"/>
  <c r="I82" i="13"/>
  <c r="H82" i="13"/>
  <c r="G82" i="13"/>
  <c r="F82" i="13"/>
  <c r="E82" i="13"/>
  <c r="D82" i="13"/>
  <c r="AA81" i="13"/>
  <c r="Z81" i="13"/>
  <c r="Y81" i="13"/>
  <c r="X81" i="13"/>
  <c r="W81" i="13"/>
  <c r="V81" i="13"/>
  <c r="U81" i="13"/>
  <c r="T81" i="13"/>
  <c r="S81" i="13"/>
  <c r="R81" i="13"/>
  <c r="Q81" i="13"/>
  <c r="P81" i="13"/>
  <c r="O81" i="13"/>
  <c r="N81" i="13"/>
  <c r="M81" i="13"/>
  <c r="L81" i="13"/>
  <c r="K81" i="13"/>
  <c r="J81" i="13"/>
  <c r="I81" i="13"/>
  <c r="H81" i="13"/>
  <c r="G81" i="13"/>
  <c r="F81" i="13"/>
  <c r="E81" i="13"/>
  <c r="D81" i="13"/>
  <c r="M80" i="13"/>
  <c r="I80" i="13"/>
  <c r="AA79" i="13"/>
  <c r="Z79" i="13"/>
  <c r="Y79" i="13"/>
  <c r="X79" i="13"/>
  <c r="W79" i="13"/>
  <c r="V79" i="13"/>
  <c r="U79" i="13"/>
  <c r="T79" i="13"/>
  <c r="S79" i="13"/>
  <c r="R79" i="13"/>
  <c r="Q79" i="13"/>
  <c r="P79" i="13"/>
  <c r="O79" i="13"/>
  <c r="N79" i="13"/>
  <c r="M79" i="13"/>
  <c r="L79" i="13"/>
  <c r="K79" i="13"/>
  <c r="J79" i="13"/>
  <c r="I79" i="13"/>
  <c r="H79" i="13"/>
  <c r="G79" i="13"/>
  <c r="F79" i="13"/>
  <c r="E79" i="13"/>
  <c r="D79" i="13"/>
  <c r="AA78" i="13"/>
  <c r="S80" i="13" s="1"/>
  <c r="Z78" i="13"/>
  <c r="Y78" i="13"/>
  <c r="X78" i="13"/>
  <c r="W78" i="13"/>
  <c r="V78" i="13"/>
  <c r="U78" i="13"/>
  <c r="T78" i="13"/>
  <c r="S78" i="13"/>
  <c r="R78" i="13"/>
  <c r="Q78" i="13"/>
  <c r="P78" i="13"/>
  <c r="O78" i="13"/>
  <c r="N78" i="13"/>
  <c r="M78" i="13"/>
  <c r="L78" i="13"/>
  <c r="K78" i="13"/>
  <c r="J78" i="13"/>
  <c r="I78" i="13"/>
  <c r="H78" i="13"/>
  <c r="G78" i="13"/>
  <c r="F78" i="13"/>
  <c r="E78" i="13"/>
  <c r="D78" i="13"/>
  <c r="I77" i="13"/>
  <c r="AA76" i="13"/>
  <c r="Z76" i="13"/>
  <c r="Y76" i="13"/>
  <c r="X76" i="13"/>
  <c r="W76" i="13"/>
  <c r="V76" i="13"/>
  <c r="U76" i="13"/>
  <c r="T76" i="13"/>
  <c r="S76" i="13"/>
  <c r="R76" i="13"/>
  <c r="Q76" i="13"/>
  <c r="P76" i="13"/>
  <c r="O76" i="13"/>
  <c r="N76" i="13"/>
  <c r="M76" i="13"/>
  <c r="L76" i="13"/>
  <c r="K76" i="13"/>
  <c r="J76" i="13"/>
  <c r="I76" i="13"/>
  <c r="H76" i="13"/>
  <c r="G76" i="13"/>
  <c r="F76" i="13"/>
  <c r="E76" i="13"/>
  <c r="AA75" i="13"/>
  <c r="Z75" i="13"/>
  <c r="Y75" i="13"/>
  <c r="X75" i="13"/>
  <c r="W75" i="13"/>
  <c r="V75" i="13"/>
  <c r="U75" i="13"/>
  <c r="T75" i="13"/>
  <c r="S75" i="13"/>
  <c r="R75" i="13"/>
  <c r="Q75" i="13"/>
  <c r="P75" i="13"/>
  <c r="O75" i="13"/>
  <c r="N75" i="13"/>
  <c r="M75" i="13"/>
  <c r="L75" i="13"/>
  <c r="K75" i="13"/>
  <c r="J75" i="13"/>
  <c r="I75" i="13"/>
  <c r="H75" i="13"/>
  <c r="G75" i="13"/>
  <c r="F75" i="13"/>
  <c r="E75" i="13"/>
  <c r="AA72" i="13"/>
  <c r="Z72" i="13"/>
  <c r="Y72" i="13"/>
  <c r="X72" i="13"/>
  <c r="W72" i="13"/>
  <c r="V72" i="13"/>
  <c r="U72" i="13"/>
  <c r="T72" i="13"/>
  <c r="S72" i="13"/>
  <c r="R72" i="13"/>
  <c r="Q72" i="13"/>
  <c r="P72" i="13"/>
  <c r="O72" i="13"/>
  <c r="N72" i="13"/>
  <c r="M72" i="13"/>
  <c r="L72" i="13"/>
  <c r="K72" i="13"/>
  <c r="J72" i="13"/>
  <c r="I72" i="13"/>
  <c r="H72" i="13"/>
  <c r="G72" i="13"/>
  <c r="F72" i="13"/>
  <c r="E72" i="13"/>
  <c r="D72" i="13"/>
  <c r="AA71" i="13"/>
  <c r="Z71" i="13"/>
  <c r="Y71" i="13"/>
  <c r="X71" i="13"/>
  <c r="W71" i="13"/>
  <c r="V71" i="13"/>
  <c r="U71" i="13"/>
  <c r="T71" i="13"/>
  <c r="S71" i="13"/>
  <c r="R71" i="13"/>
  <c r="Q71" i="13"/>
  <c r="P71" i="13"/>
  <c r="O71" i="13"/>
  <c r="N71" i="13"/>
  <c r="M71" i="13"/>
  <c r="L71" i="13"/>
  <c r="K71" i="13"/>
  <c r="J71" i="13"/>
  <c r="I71" i="13"/>
  <c r="H71" i="13"/>
  <c r="G71" i="13"/>
  <c r="F71" i="13"/>
  <c r="E71" i="13"/>
  <c r="D71" i="13"/>
  <c r="AA70" i="13"/>
  <c r="Z70" i="13"/>
  <c r="Y70" i="13"/>
  <c r="X70" i="13"/>
  <c r="W70" i="13"/>
  <c r="V70" i="13"/>
  <c r="U70" i="13"/>
  <c r="T70" i="13"/>
  <c r="S70" i="13"/>
  <c r="R70" i="13"/>
  <c r="Q70" i="13"/>
  <c r="P70" i="13"/>
  <c r="O70" i="13"/>
  <c r="N70" i="13"/>
  <c r="M70" i="13"/>
  <c r="L70" i="13"/>
  <c r="K70" i="13"/>
  <c r="J70" i="13"/>
  <c r="I70" i="13"/>
  <c r="H70" i="13"/>
  <c r="G70" i="13"/>
  <c r="F70" i="13"/>
  <c r="E70" i="13"/>
  <c r="D70" i="13"/>
  <c r="AA69" i="13"/>
  <c r="Z69" i="13"/>
  <c r="Y69" i="13"/>
  <c r="X69" i="13"/>
  <c r="W69" i="13"/>
  <c r="V69" i="13"/>
  <c r="U69" i="13"/>
  <c r="T69" i="13"/>
  <c r="S69" i="13"/>
  <c r="R69" i="13"/>
  <c r="Q69" i="13"/>
  <c r="P69" i="13"/>
  <c r="O69" i="13"/>
  <c r="N69" i="13"/>
  <c r="M69" i="13"/>
  <c r="L69" i="13"/>
  <c r="K69" i="13"/>
  <c r="J69" i="13"/>
  <c r="I69" i="13"/>
  <c r="H69" i="13"/>
  <c r="G69" i="13"/>
  <c r="F69" i="13"/>
  <c r="E69" i="13"/>
  <c r="D69" i="13"/>
  <c r="AA68" i="13"/>
  <c r="Z68" i="13"/>
  <c r="Y68" i="13"/>
  <c r="X68" i="13"/>
  <c r="W68" i="13"/>
  <c r="V68" i="13"/>
  <c r="U68" i="13"/>
  <c r="T68" i="13"/>
  <c r="S68" i="13"/>
  <c r="R68" i="13"/>
  <c r="Q68" i="13"/>
  <c r="P68" i="13"/>
  <c r="O68" i="13"/>
  <c r="N68" i="13"/>
  <c r="M68" i="13"/>
  <c r="L68" i="13"/>
  <c r="K68" i="13"/>
  <c r="J68" i="13"/>
  <c r="I68" i="13"/>
  <c r="H68" i="13"/>
  <c r="G68" i="13"/>
  <c r="F68" i="13"/>
  <c r="E68" i="13"/>
  <c r="D68" i="13"/>
  <c r="M67" i="13"/>
  <c r="I67" i="13"/>
  <c r="AA66" i="13"/>
  <c r="Z66" i="13"/>
  <c r="Y66" i="13"/>
  <c r="X66" i="13"/>
  <c r="W66" i="13"/>
  <c r="V66" i="13"/>
  <c r="U66" i="13"/>
  <c r="T66" i="13"/>
  <c r="S66" i="13"/>
  <c r="R66" i="13"/>
  <c r="Q66" i="13"/>
  <c r="P66" i="13"/>
  <c r="O66" i="13"/>
  <c r="N66" i="13"/>
  <c r="M66" i="13"/>
  <c r="L66" i="13"/>
  <c r="K66" i="13"/>
  <c r="J66" i="13"/>
  <c r="I66" i="13"/>
  <c r="H66" i="13"/>
  <c r="G66" i="13"/>
  <c r="F66" i="13"/>
  <c r="E66" i="13"/>
  <c r="D66" i="13"/>
  <c r="AA65" i="13"/>
  <c r="S67" i="13" s="1"/>
  <c r="Z65" i="13"/>
  <c r="Y65" i="13"/>
  <c r="X65" i="13"/>
  <c r="W65" i="13"/>
  <c r="V65" i="13"/>
  <c r="U65" i="13"/>
  <c r="T65" i="13"/>
  <c r="S65" i="13"/>
  <c r="R65" i="13"/>
  <c r="Q65" i="13"/>
  <c r="P65" i="13"/>
  <c r="O65" i="13"/>
  <c r="N65" i="13"/>
  <c r="M65" i="13"/>
  <c r="L65" i="13"/>
  <c r="K65" i="13"/>
  <c r="J65" i="13"/>
  <c r="I65" i="13"/>
  <c r="H65" i="13"/>
  <c r="G65" i="13"/>
  <c r="F65" i="13"/>
  <c r="E65" i="13"/>
  <c r="D65" i="13"/>
  <c r="I64" i="13"/>
  <c r="AA63" i="13"/>
  <c r="Z63" i="13"/>
  <c r="Y63" i="13"/>
  <c r="X63" i="13"/>
  <c r="W63" i="13"/>
  <c r="V63" i="13"/>
  <c r="U63" i="13"/>
  <c r="T63" i="13"/>
  <c r="S63" i="13"/>
  <c r="R63" i="13"/>
  <c r="Q63" i="13"/>
  <c r="P63" i="13"/>
  <c r="O63" i="13"/>
  <c r="N63" i="13"/>
  <c r="M63" i="13"/>
  <c r="L63" i="13"/>
  <c r="K63" i="13"/>
  <c r="J63" i="13"/>
  <c r="I63" i="13"/>
  <c r="H63" i="13"/>
  <c r="G63" i="13"/>
  <c r="F63" i="13"/>
  <c r="E63" i="13"/>
  <c r="AA62" i="13"/>
  <c r="Z62" i="13"/>
  <c r="Y62" i="13"/>
  <c r="X62" i="13"/>
  <c r="W62" i="13"/>
  <c r="V62" i="13"/>
  <c r="U62" i="13"/>
  <c r="T62" i="13"/>
  <c r="S62" i="13"/>
  <c r="R62" i="13"/>
  <c r="Q62" i="13"/>
  <c r="P62" i="13"/>
  <c r="O62" i="13"/>
  <c r="N62" i="13"/>
  <c r="M62" i="13"/>
  <c r="L62" i="13"/>
  <c r="K62" i="13"/>
  <c r="J62" i="13"/>
  <c r="I62" i="13"/>
  <c r="H62" i="13"/>
  <c r="G62" i="13"/>
  <c r="F62" i="13"/>
  <c r="E62" i="13"/>
  <c r="AA60" i="13"/>
  <c r="Z60" i="13"/>
  <c r="Y60" i="13"/>
  <c r="X60" i="13"/>
  <c r="W60" i="13"/>
  <c r="V60" i="13"/>
  <c r="U60" i="13"/>
  <c r="T60" i="13"/>
  <c r="S60" i="13"/>
  <c r="R60" i="13"/>
  <c r="Q60" i="13"/>
  <c r="P60" i="13"/>
  <c r="O60" i="13"/>
  <c r="N60" i="13"/>
  <c r="M60" i="13"/>
  <c r="L60" i="13"/>
  <c r="K60" i="13"/>
  <c r="J60" i="13"/>
  <c r="I60" i="13"/>
  <c r="H60" i="13"/>
  <c r="G60" i="13"/>
  <c r="F60" i="13"/>
  <c r="E60" i="13"/>
  <c r="D60" i="13"/>
  <c r="AA59" i="13"/>
  <c r="Z59" i="13"/>
  <c r="Y59" i="13"/>
  <c r="X59" i="13"/>
  <c r="W59" i="13"/>
  <c r="V59" i="13"/>
  <c r="U59" i="13"/>
  <c r="T59" i="13"/>
  <c r="S59" i="13"/>
  <c r="R59" i="13"/>
  <c r="Q59" i="13"/>
  <c r="P59" i="13"/>
  <c r="O59" i="13"/>
  <c r="N59" i="13"/>
  <c r="M59" i="13"/>
  <c r="L59" i="13"/>
  <c r="K59" i="13"/>
  <c r="J59" i="13"/>
  <c r="I59" i="13"/>
  <c r="H59" i="13"/>
  <c r="G59" i="13"/>
  <c r="F59" i="13"/>
  <c r="E59" i="13"/>
  <c r="D59" i="13"/>
  <c r="AA58" i="13"/>
  <c r="Z58" i="13"/>
  <c r="Y58" i="13"/>
  <c r="X58" i="13"/>
  <c r="W58" i="13"/>
  <c r="V58" i="13"/>
  <c r="U58" i="13"/>
  <c r="T58" i="13"/>
  <c r="S58" i="13"/>
  <c r="R58" i="13"/>
  <c r="Q58" i="13"/>
  <c r="P58" i="13"/>
  <c r="O58" i="13"/>
  <c r="N58" i="13"/>
  <c r="M58" i="13"/>
  <c r="L58" i="13"/>
  <c r="K58" i="13"/>
  <c r="J58" i="13"/>
  <c r="I58" i="13"/>
  <c r="H58" i="13"/>
  <c r="G58" i="13"/>
  <c r="F58" i="13"/>
  <c r="E58" i="13"/>
  <c r="D58" i="13"/>
  <c r="AA57" i="13"/>
  <c r="Z57" i="13"/>
  <c r="Y57" i="13"/>
  <c r="X57" i="13"/>
  <c r="W57" i="13"/>
  <c r="V57" i="13"/>
  <c r="U57" i="13"/>
  <c r="T57" i="13"/>
  <c r="S57" i="13"/>
  <c r="R57" i="13"/>
  <c r="Q57" i="13"/>
  <c r="P57" i="13"/>
  <c r="O57" i="13"/>
  <c r="N57" i="13"/>
  <c r="M57" i="13"/>
  <c r="L57" i="13"/>
  <c r="K57" i="13"/>
  <c r="J57" i="13"/>
  <c r="I57" i="13"/>
  <c r="H57" i="13"/>
  <c r="G57" i="13"/>
  <c r="F57" i="13"/>
  <c r="E57" i="13"/>
  <c r="D57" i="13"/>
  <c r="AA56" i="13"/>
  <c r="Z56" i="13"/>
  <c r="Y56" i="13"/>
  <c r="X56" i="13"/>
  <c r="W56" i="13"/>
  <c r="V56" i="13"/>
  <c r="U56" i="13"/>
  <c r="T56" i="13"/>
  <c r="S56" i="13"/>
  <c r="R56" i="13"/>
  <c r="Q56" i="13"/>
  <c r="P56" i="13"/>
  <c r="O56" i="13"/>
  <c r="N56" i="13"/>
  <c r="M56" i="13"/>
  <c r="L56" i="13"/>
  <c r="K56" i="13"/>
  <c r="J56" i="13"/>
  <c r="I56" i="13"/>
  <c r="H56" i="13"/>
  <c r="G56" i="13"/>
  <c r="F56" i="13"/>
  <c r="E56" i="13"/>
  <c r="D56" i="13"/>
  <c r="AA55" i="13"/>
  <c r="Z55" i="13"/>
  <c r="Y55" i="13"/>
  <c r="X55" i="13"/>
  <c r="W55" i="13"/>
  <c r="V55" i="1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AA54" i="13"/>
  <c r="Z54" i="13"/>
  <c r="Y54" i="13"/>
  <c r="X54" i="13"/>
  <c r="W54" i="13"/>
  <c r="V54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AA53" i="13"/>
  <c r="Z53" i="13"/>
  <c r="Y53" i="13"/>
  <c r="X53" i="13"/>
  <c r="W53" i="13"/>
  <c r="V53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AA52" i="13"/>
  <c r="Z52" i="13"/>
  <c r="Y52" i="13"/>
  <c r="X52" i="13"/>
  <c r="W52" i="13"/>
  <c r="V52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AA51" i="13"/>
  <c r="Z51" i="13"/>
  <c r="Y51" i="13"/>
  <c r="X51" i="13"/>
  <c r="W51" i="13"/>
  <c r="V51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AA50" i="13"/>
  <c r="Z50" i="13"/>
  <c r="Y50" i="13"/>
  <c r="X50" i="13"/>
  <c r="W50" i="13"/>
  <c r="V50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AA49" i="13"/>
  <c r="Z49" i="13"/>
  <c r="Y49" i="13"/>
  <c r="X49" i="13"/>
  <c r="W49" i="13"/>
  <c r="V49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AA48" i="13"/>
  <c r="Z48" i="13"/>
  <c r="Y48" i="13"/>
  <c r="X48" i="13"/>
  <c r="W48" i="13"/>
  <c r="V48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AA47" i="13"/>
  <c r="Z47" i="13"/>
  <c r="Y47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F46" i="13"/>
  <c r="D46" i="13"/>
  <c r="AA45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AA44" i="13"/>
  <c r="Z44" i="13"/>
  <c r="Y44" i="13"/>
  <c r="X44" i="13"/>
  <c r="W44" i="13"/>
  <c r="V44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AA43" i="13"/>
  <c r="Z43" i="13"/>
  <c r="Y43" i="13"/>
  <c r="X43" i="13"/>
  <c r="W43" i="13"/>
  <c r="V43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I42" i="13"/>
  <c r="AA41" i="13"/>
  <c r="Z41" i="13"/>
  <c r="Y41" i="13"/>
  <c r="X41" i="13"/>
  <c r="W41" i="13"/>
  <c r="V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AA40" i="13"/>
  <c r="Z40" i="13"/>
  <c r="Y40" i="13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AA39" i="13"/>
  <c r="Z39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AA38" i="13"/>
  <c r="Z38" i="13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AA37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AA36" i="13"/>
  <c r="Z36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I35" i="13"/>
  <c r="AA34" i="13"/>
  <c r="S35" i="13" s="1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AA33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I32" i="13"/>
  <c r="AA31" i="13"/>
  <c r="Z31" i="13"/>
  <c r="Y31" i="13"/>
  <c r="X31" i="13"/>
  <c r="W31" i="13"/>
  <c r="V31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AA30" i="13"/>
  <c r="Z30" i="13"/>
  <c r="Y30" i="13"/>
  <c r="X30" i="13"/>
  <c r="W30" i="13"/>
  <c r="V30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AA27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M24" i="13"/>
  <c r="I24" i="13"/>
  <c r="AA23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AA22" i="13"/>
  <c r="S24" i="13" s="1"/>
  <c r="Z22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I21" i="13"/>
  <c r="AA17" i="13"/>
  <c r="Z17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AA12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AA11" i="13"/>
  <c r="S13" i="13" s="1"/>
  <c r="Z11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I10" i="13"/>
  <c r="AA6" i="13"/>
  <c r="Z6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AA5" i="13"/>
  <c r="Z5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AA3" i="13"/>
  <c r="Z3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AA2" i="13"/>
  <c r="Z2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K24" i="3"/>
  <c r="BJ24" i="3"/>
  <c r="BI24" i="3"/>
  <c r="BH24" i="3"/>
  <c r="BG24" i="3"/>
  <c r="BF24" i="3"/>
  <c r="AX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K20" i="3"/>
  <c r="BJ20" i="3"/>
  <c r="BI20" i="3"/>
  <c r="BH20" i="3"/>
  <c r="BG20" i="3"/>
  <c r="BF20" i="3"/>
  <c r="AX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F42" i="2"/>
  <c r="B41" i="2"/>
  <c r="B40" i="2"/>
  <c r="O38" i="2"/>
  <c r="N38" i="2"/>
  <c r="L38" i="2"/>
  <c r="J38" i="2"/>
  <c r="I38" i="2"/>
  <c r="H38" i="2"/>
  <c r="O36" i="2"/>
  <c r="N36" i="2"/>
  <c r="L36" i="2"/>
  <c r="J36" i="2"/>
  <c r="I36" i="2"/>
  <c r="H36" i="2"/>
  <c r="O33" i="2"/>
  <c r="N33" i="2"/>
  <c r="L33" i="2"/>
  <c r="J33" i="2"/>
  <c r="I33" i="2"/>
  <c r="H33" i="2"/>
  <c r="N32" i="2"/>
  <c r="L32" i="2"/>
  <c r="J32" i="2"/>
  <c r="H32" i="2"/>
  <c r="O31" i="2"/>
  <c r="N31" i="2"/>
  <c r="L31" i="2"/>
  <c r="J31" i="2"/>
  <c r="I31" i="2"/>
  <c r="H31" i="2"/>
  <c r="O30" i="2"/>
  <c r="N30" i="2"/>
  <c r="L30" i="2"/>
  <c r="J30" i="2"/>
  <c r="I30" i="2"/>
  <c r="H30" i="2"/>
  <c r="N28" i="2"/>
  <c r="L28" i="2"/>
  <c r="J28" i="2"/>
  <c r="H28" i="2"/>
  <c r="B28" i="2"/>
  <c r="B27" i="2"/>
  <c r="B26" i="2"/>
  <c r="N25" i="2"/>
  <c r="L25" i="2"/>
  <c r="J25" i="2"/>
  <c r="H25" i="2"/>
  <c r="N24" i="2"/>
  <c r="L24" i="2"/>
  <c r="J24" i="2"/>
  <c r="H24" i="2"/>
  <c r="B23" i="2"/>
  <c r="B22" i="2"/>
  <c r="N21" i="2"/>
  <c r="L21" i="2"/>
  <c r="J21" i="2"/>
  <c r="H21" i="2"/>
  <c r="O20" i="2"/>
  <c r="N20" i="2"/>
  <c r="L20" i="2"/>
  <c r="J20" i="2"/>
  <c r="I20" i="2"/>
  <c r="H20" i="2"/>
  <c r="O19" i="2"/>
  <c r="N19" i="2"/>
  <c r="L19" i="2"/>
  <c r="J19" i="2"/>
  <c r="I19" i="2"/>
  <c r="H19" i="2"/>
  <c r="B19" i="2"/>
  <c r="O18" i="2"/>
  <c r="N18" i="2"/>
  <c r="L18" i="2"/>
  <c r="J18" i="2"/>
  <c r="I18" i="2"/>
  <c r="H18" i="2"/>
  <c r="O17" i="2"/>
  <c r="N17" i="2"/>
  <c r="L17" i="2"/>
  <c r="J17" i="2"/>
  <c r="I17" i="2"/>
  <c r="H17" i="2"/>
  <c r="O16" i="2"/>
  <c r="N16" i="2"/>
  <c r="L16" i="2"/>
  <c r="J16" i="2"/>
  <c r="I16" i="2"/>
  <c r="H16" i="2"/>
  <c r="O15" i="2"/>
  <c r="N15" i="2"/>
  <c r="L15" i="2"/>
  <c r="J15" i="2"/>
  <c r="I15" i="2"/>
  <c r="H15" i="2"/>
  <c r="B14" i="2"/>
  <c r="O13" i="2"/>
  <c r="N13" i="2"/>
  <c r="L13" i="2"/>
  <c r="J13" i="2"/>
  <c r="I13" i="2"/>
  <c r="H13" i="2"/>
  <c r="B13" i="2"/>
  <c r="B12" i="2"/>
  <c r="B11" i="2"/>
  <c r="O10" i="2"/>
  <c r="N10" i="2"/>
  <c r="L10" i="2"/>
  <c r="J10" i="2"/>
  <c r="I10" i="2"/>
  <c r="H10" i="2"/>
  <c r="B10" i="2"/>
  <c r="O9" i="2"/>
  <c r="N9" i="2"/>
  <c r="L9" i="2"/>
  <c r="J9" i="2"/>
  <c r="I9" i="2"/>
  <c r="H9" i="2"/>
  <c r="B9" i="2"/>
  <c r="O8" i="2"/>
  <c r="N8" i="2"/>
  <c r="L8" i="2"/>
  <c r="J8" i="2"/>
  <c r="H8" i="2"/>
  <c r="N7" i="2"/>
  <c r="L7" i="2"/>
  <c r="J7" i="2"/>
  <c r="H7" i="2"/>
  <c r="B7" i="2"/>
  <c r="B6" i="2"/>
  <c r="B5" i="2"/>
  <c r="O4" i="2"/>
  <c r="N4" i="2"/>
  <c r="L4" i="2"/>
  <c r="J4" i="2"/>
  <c r="I4" i="2"/>
  <c r="H4" i="2"/>
  <c r="O3" i="2"/>
  <c r="N3" i="2"/>
  <c r="L3" i="2"/>
  <c r="J3" i="2"/>
  <c r="I3" i="2"/>
  <c r="H3" i="2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M20" i="13" l="1"/>
  <c r="H20" i="13"/>
  <c r="I154" i="13"/>
  <c r="T185" i="13"/>
  <c r="Z213" i="13"/>
  <c r="P229" i="13"/>
  <c r="AA230" i="13"/>
  <c r="X230" i="13"/>
  <c r="H229" i="13"/>
  <c r="W175" i="13"/>
  <c r="Q175" i="13"/>
  <c r="O176" i="13"/>
  <c r="G176" i="13"/>
  <c r="AA162" i="13"/>
  <c r="Z154" i="13"/>
  <c r="R153" i="13"/>
  <c r="M9" i="13"/>
  <c r="J9" i="13"/>
  <c r="M168" i="13"/>
  <c r="J230" i="13"/>
  <c r="J196" i="13"/>
  <c r="I229" i="13"/>
  <c r="R8" i="13"/>
  <c r="R230" i="13"/>
  <c r="Z9" i="13"/>
  <c r="H8" i="13"/>
  <c r="Q135" i="13"/>
  <c r="G213" i="13"/>
  <c r="J19" i="13"/>
  <c r="Z20" i="13"/>
  <c r="L175" i="13"/>
  <c r="Z196" i="13"/>
  <c r="M154" i="13"/>
  <c r="R20" i="13"/>
  <c r="U169" i="13"/>
  <c r="Y185" i="13"/>
  <c r="F19" i="13"/>
  <c r="V20" i="13"/>
  <c r="R176" i="13"/>
  <c r="T9" i="13"/>
  <c r="W9" i="13"/>
  <c r="Q185" i="13"/>
  <c r="G4" i="13"/>
  <c r="S19" i="13"/>
  <c r="Q20" i="13"/>
  <c r="Y19" i="13"/>
  <c r="T168" i="13"/>
  <c r="E20" i="13"/>
  <c r="L153" i="13"/>
  <c r="T153" i="13"/>
  <c r="K162" i="13"/>
  <c r="H169" i="13"/>
  <c r="P169" i="13"/>
  <c r="X169" i="13"/>
  <c r="D181" i="13"/>
  <c r="S186" i="13"/>
  <c r="AA185" i="13"/>
  <c r="Y196" i="13"/>
  <c r="I136" i="13"/>
  <c r="J197" i="13"/>
  <c r="R196" i="13"/>
  <c r="R19" i="13"/>
  <c r="J168" i="13"/>
  <c r="D169" i="13"/>
  <c r="M196" i="13"/>
  <c r="U196" i="13"/>
  <c r="L213" i="13"/>
  <c r="D212" i="13"/>
  <c r="AA9" i="13"/>
  <c r="L19" i="13"/>
  <c r="AA19" i="13"/>
  <c r="Q154" i="13"/>
  <c r="Y154" i="13"/>
  <c r="X162" i="13"/>
  <c r="E169" i="13"/>
  <c r="U168" i="13"/>
  <c r="P185" i="13"/>
  <c r="X185" i="13"/>
  <c r="L222" i="13"/>
  <c r="T222" i="13"/>
  <c r="D221" i="13"/>
  <c r="U20" i="13"/>
  <c r="I185" i="13"/>
  <c r="Y229" i="13"/>
  <c r="Z230" i="13"/>
  <c r="Q230" i="13"/>
  <c r="H230" i="13"/>
  <c r="T221" i="13"/>
  <c r="L221" i="13"/>
  <c r="D213" i="13"/>
  <c r="W212" i="13"/>
  <c r="U212" i="13"/>
  <c r="U213" i="13"/>
  <c r="T213" i="13"/>
  <c r="O212" i="13"/>
  <c r="M212" i="13"/>
  <c r="W197" i="13"/>
  <c r="T197" i="13"/>
  <c r="R197" i="13"/>
  <c r="L197" i="13"/>
  <c r="L196" i="13"/>
  <c r="I196" i="13"/>
  <c r="G197" i="13"/>
  <c r="D197" i="13"/>
  <c r="Q186" i="13"/>
  <c r="L186" i="13"/>
  <c r="D185" i="13"/>
  <c r="F185" i="13"/>
  <c r="Z176" i="13"/>
  <c r="J176" i="13"/>
  <c r="J175" i="13"/>
  <c r="W168" i="13"/>
  <c r="E168" i="13"/>
  <c r="U161" i="13"/>
  <c r="S161" i="13"/>
  <c r="Q162" i="13"/>
  <c r="O162" i="13"/>
  <c r="N161" i="13"/>
  <c r="K161" i="13"/>
  <c r="G162" i="13"/>
  <c r="F162" i="13"/>
  <c r="Z153" i="13"/>
  <c r="U154" i="13"/>
  <c r="J153" i="13"/>
  <c r="Z135" i="13"/>
  <c r="Y135" i="13"/>
  <c r="Y136" i="13"/>
  <c r="V136" i="13"/>
  <c r="Q136" i="13"/>
  <c r="R136" i="13"/>
  <c r="O135" i="13"/>
  <c r="N136" i="13"/>
  <c r="J135" i="13"/>
  <c r="I135" i="13"/>
  <c r="G136" i="13"/>
  <c r="O130" i="13"/>
  <c r="H46" i="13"/>
  <c r="Z19" i="13"/>
  <c r="X20" i="13"/>
  <c r="Y20" i="13"/>
  <c r="W19" i="13"/>
  <c r="T19" i="13"/>
  <c r="K19" i="13"/>
  <c r="J20" i="13"/>
  <c r="AA8" i="13"/>
  <c r="Z8" i="13"/>
  <c r="D9" i="13"/>
  <c r="Y9" i="13"/>
  <c r="T8" i="13"/>
  <c r="U9" i="13"/>
  <c r="S9" i="13"/>
  <c r="S8" i="13"/>
  <c r="Q9" i="13"/>
  <c r="L8" i="13"/>
  <c r="K8" i="13"/>
  <c r="L9" i="13"/>
  <c r="K9" i="13"/>
  <c r="I9" i="13"/>
  <c r="D4" i="13"/>
  <c r="D8" i="13"/>
  <c r="E9" i="13"/>
  <c r="AA26" i="13"/>
  <c r="V138" i="13"/>
  <c r="L135" i="13"/>
  <c r="T136" i="13"/>
  <c r="D154" i="13"/>
  <c r="V161" i="13"/>
  <c r="V199" i="13"/>
  <c r="D196" i="13"/>
  <c r="U197" i="13"/>
  <c r="D222" i="13"/>
  <c r="X229" i="13"/>
  <c r="L230" i="13"/>
  <c r="T230" i="13"/>
  <c r="D242" i="13"/>
  <c r="R242" i="13" s="1"/>
  <c r="D246" i="13"/>
  <c r="R246" i="13" s="1"/>
  <c r="D250" i="13"/>
  <c r="R250" i="13" s="1"/>
  <c r="I19" i="13"/>
  <c r="I20" i="13"/>
  <c r="P20" i="13"/>
  <c r="P26" i="13"/>
  <c r="M169" i="13"/>
  <c r="I175" i="13"/>
  <c r="N186" i="13"/>
  <c r="V185" i="13"/>
  <c r="Y197" i="13"/>
  <c r="O213" i="13"/>
  <c r="H213" i="13"/>
  <c r="P213" i="13"/>
  <c r="X213" i="13"/>
  <c r="I221" i="13"/>
  <c r="Q222" i="13"/>
  <c r="Y221" i="13"/>
  <c r="AA229" i="13"/>
  <c r="F229" i="13"/>
  <c r="N230" i="13"/>
  <c r="V229" i="13"/>
  <c r="G154" i="13"/>
  <c r="O153" i="13"/>
  <c r="W154" i="13"/>
  <c r="Q161" i="13"/>
  <c r="G169" i="13"/>
  <c r="O168" i="13"/>
  <c r="Z4" i="13"/>
  <c r="N9" i="13"/>
  <c r="V9" i="13"/>
  <c r="L201" i="13"/>
  <c r="J213" i="13"/>
  <c r="R212" i="13"/>
  <c r="K230" i="13"/>
  <c r="H9" i="13"/>
  <c r="P8" i="13"/>
  <c r="X8" i="13"/>
  <c r="H136" i="13"/>
  <c r="P136" i="13"/>
  <c r="X136" i="13"/>
  <c r="J154" i="13"/>
  <c r="AA161" i="13"/>
  <c r="E196" i="13"/>
  <c r="M197" i="13"/>
  <c r="G212" i="13"/>
  <c r="L212" i="13"/>
  <c r="S230" i="13"/>
  <c r="W136" i="13"/>
  <c r="J136" i="13"/>
  <c r="R135" i="13"/>
  <c r="Z136" i="13"/>
  <c r="O154" i="13"/>
  <c r="R154" i="13"/>
  <c r="J169" i="13"/>
  <c r="R169" i="13"/>
  <c r="Z169" i="13"/>
  <c r="I176" i="13"/>
  <c r="Q176" i="13"/>
  <c r="E197" i="13"/>
  <c r="O197" i="13"/>
  <c r="E212" i="13"/>
  <c r="M213" i="13"/>
  <c r="F221" i="13"/>
  <c r="M222" i="13"/>
  <c r="U222" i="13"/>
  <c r="K229" i="13"/>
  <c r="X186" i="13"/>
  <c r="F20" i="13"/>
  <c r="N20" i="13"/>
  <c r="X26" i="13"/>
  <c r="K169" i="13"/>
  <c r="S169" i="13"/>
  <c r="R175" i="13"/>
  <c r="Z175" i="13"/>
  <c r="S185" i="13"/>
  <c r="G221" i="13"/>
  <c r="O222" i="13"/>
  <c r="W221" i="13"/>
  <c r="S229" i="13"/>
  <c r="X199" i="13"/>
  <c r="J4" i="13"/>
  <c r="J8" i="13"/>
  <c r="W8" i="13"/>
  <c r="X9" i="13"/>
  <c r="V19" i="13"/>
  <c r="H19" i="13"/>
  <c r="P19" i="13"/>
  <c r="X19" i="13"/>
  <c r="H26" i="13"/>
  <c r="D67" i="13"/>
  <c r="W130" i="13"/>
  <c r="AA156" i="13"/>
  <c r="U158" i="13" s="1"/>
  <c r="M136" i="13"/>
  <c r="U136" i="13"/>
  <c r="H154" i="13"/>
  <c r="P154" i="13"/>
  <c r="X154" i="13"/>
  <c r="U162" i="13"/>
  <c r="H162" i="13"/>
  <c r="O161" i="13"/>
  <c r="X161" i="13"/>
  <c r="K168" i="13"/>
  <c r="Z168" i="13"/>
  <c r="O175" i="13"/>
  <c r="O192" i="13"/>
  <c r="Z197" i="13"/>
  <c r="E213" i="13"/>
  <c r="W213" i="13"/>
  <c r="N221" i="13"/>
  <c r="F222" i="13"/>
  <c r="V222" i="13"/>
  <c r="H222" i="13"/>
  <c r="P222" i="13"/>
  <c r="X222" i="13"/>
  <c r="N229" i="13"/>
  <c r="F230" i="13"/>
  <c r="V230" i="13"/>
  <c r="G230" i="13"/>
  <c r="O230" i="13"/>
  <c r="W230" i="13"/>
  <c r="O4" i="13"/>
  <c r="K26" i="13"/>
  <c r="D80" i="13"/>
  <c r="D135" i="13"/>
  <c r="T135" i="13"/>
  <c r="L136" i="13"/>
  <c r="Z149" i="13"/>
  <c r="D149" i="13"/>
  <c r="W153" i="13"/>
  <c r="T154" i="13"/>
  <c r="L185" i="13"/>
  <c r="D186" i="13"/>
  <c r="T186" i="13"/>
  <c r="N199" i="13"/>
  <c r="R192" i="13"/>
  <c r="O221" i="13"/>
  <c r="G222" i="13"/>
  <c r="W222" i="13"/>
  <c r="L246" i="13"/>
  <c r="L250" i="13"/>
  <c r="R4" i="13"/>
  <c r="O9" i="13"/>
  <c r="N19" i="13"/>
  <c r="D121" i="13"/>
  <c r="G135" i="13"/>
  <c r="W135" i="13"/>
  <c r="O136" i="13"/>
  <c r="D138" i="13"/>
  <c r="D153" i="13"/>
  <c r="Z161" i="13"/>
  <c r="Z162" i="13"/>
  <c r="I162" i="13"/>
  <c r="R162" i="13"/>
  <c r="Y162" i="13"/>
  <c r="D172" i="13"/>
  <c r="H172" i="13" s="1"/>
  <c r="W176" i="13"/>
  <c r="N185" i="13"/>
  <c r="F186" i="13"/>
  <c r="V186" i="13"/>
  <c r="I186" i="13"/>
  <c r="Y186" i="13"/>
  <c r="Y192" i="13"/>
  <c r="I199" i="13"/>
  <c r="K213" i="13"/>
  <c r="S213" i="13"/>
  <c r="AA213" i="13"/>
  <c r="Q221" i="13"/>
  <c r="I222" i="13"/>
  <c r="Y222" i="13"/>
  <c r="J222" i="13"/>
  <c r="R222" i="13"/>
  <c r="Z222" i="13"/>
  <c r="Q229" i="13"/>
  <c r="I230" i="13"/>
  <c r="Y230" i="13"/>
  <c r="W4" i="13"/>
  <c r="O8" i="13"/>
  <c r="P9" i="13"/>
  <c r="O19" i="13"/>
  <c r="S26" i="13"/>
  <c r="E138" i="13"/>
  <c r="G153" i="13"/>
  <c r="Q168" i="13"/>
  <c r="D175" i="13"/>
  <c r="V175" i="13"/>
  <c r="K186" i="13"/>
  <c r="R9" i="13"/>
  <c r="Y15" i="13"/>
  <c r="Q19" i="13"/>
  <c r="K20" i="13"/>
  <c r="S20" i="13"/>
  <c r="AA20" i="13"/>
  <c r="D130" i="13"/>
  <c r="F138" i="13"/>
  <c r="K154" i="13"/>
  <c r="S154" i="13"/>
  <c r="AA154" i="13"/>
  <c r="R168" i="13"/>
  <c r="G168" i="13"/>
  <c r="O169" i="13"/>
  <c r="W169" i="13"/>
  <c r="G175" i="13"/>
  <c r="L176" i="13"/>
  <c r="T175" i="13"/>
  <c r="D176" i="13"/>
  <c r="AA186" i="13"/>
  <c r="T212" i="13"/>
  <c r="V221" i="13"/>
  <c r="N222" i="13"/>
  <c r="G9" i="13"/>
  <c r="G19" i="13"/>
  <c r="E19" i="13"/>
  <c r="M19" i="13"/>
  <c r="U19" i="13"/>
  <c r="V26" i="13"/>
  <c r="E130" i="13"/>
  <c r="D136" i="13"/>
  <c r="N138" i="13"/>
  <c r="L158" i="13"/>
  <c r="F161" i="13"/>
  <c r="N162" i="13"/>
  <c r="Q169" i="13"/>
  <c r="F176" i="13"/>
  <c r="L225" i="13"/>
  <c r="P230" i="13"/>
  <c r="AA240" i="13"/>
  <c r="U242" i="13" s="1"/>
  <c r="D236" i="13"/>
  <c r="I192" i="13"/>
  <c r="G8" i="13"/>
  <c r="N15" i="13"/>
  <c r="G130" i="13"/>
  <c r="K136" i="13"/>
  <c r="S136" i="13"/>
  <c r="AA136" i="13"/>
  <c r="L154" i="13"/>
  <c r="F154" i="13"/>
  <c r="N154" i="13"/>
  <c r="V154" i="13"/>
  <c r="H168" i="13"/>
  <c r="L172" i="13"/>
  <c r="P168" i="13"/>
  <c r="X168" i="13"/>
  <c r="U188" i="13"/>
  <c r="P186" i="13"/>
  <c r="U199" i="13"/>
  <c r="D192" i="13"/>
  <c r="U207" i="13"/>
  <c r="O196" i="13"/>
  <c r="L209" i="13"/>
  <c r="T240" i="13"/>
  <c r="M230" i="13"/>
  <c r="U230" i="13"/>
  <c r="D240" i="13"/>
  <c r="F15" i="13"/>
  <c r="F4" i="13"/>
  <c r="N4" i="13"/>
  <c r="V4" i="13"/>
  <c r="F8" i="13"/>
  <c r="N8" i="13"/>
  <c r="V8" i="13"/>
  <c r="F9" i="13"/>
  <c r="J15" i="13"/>
  <c r="R15" i="13"/>
  <c r="Z15" i="13"/>
  <c r="L20" i="13"/>
  <c r="T20" i="13"/>
  <c r="G26" i="13"/>
  <c r="O26" i="13"/>
  <c r="W26" i="13"/>
  <c r="K130" i="13"/>
  <c r="S130" i="13"/>
  <c r="AA130" i="13"/>
  <c r="K135" i="13"/>
  <c r="S135" i="13"/>
  <c r="AA135" i="13"/>
  <c r="J138" i="13"/>
  <c r="R138" i="13"/>
  <c r="Z138" i="13"/>
  <c r="K149" i="13"/>
  <c r="S149" i="13"/>
  <c r="AA149" i="13"/>
  <c r="K153" i="13"/>
  <c r="S153" i="13"/>
  <c r="AA153" i="13"/>
  <c r="J156" i="13"/>
  <c r="S156" i="13"/>
  <c r="D158" i="13"/>
  <c r="G161" i="13"/>
  <c r="P161" i="13"/>
  <c r="Y161" i="13"/>
  <c r="J162" i="13"/>
  <c r="S162" i="13"/>
  <c r="Y168" i="13"/>
  <c r="L169" i="13"/>
  <c r="T188" i="13"/>
  <c r="L181" i="13"/>
  <c r="AA181" i="13"/>
  <c r="E188" i="13"/>
  <c r="G192" i="13"/>
  <c r="W192" i="13"/>
  <c r="S199" i="13"/>
  <c r="H197" i="13"/>
  <c r="H196" i="13"/>
  <c r="P197" i="13"/>
  <c r="P196" i="13"/>
  <c r="X197" i="13"/>
  <c r="X196" i="13"/>
  <c r="J203" i="13"/>
  <c r="H207" i="13"/>
  <c r="D209" i="13"/>
  <c r="I213" i="13"/>
  <c r="I212" i="13"/>
  <c r="Q213" i="13"/>
  <c r="Q212" i="13"/>
  <c r="Y213" i="13"/>
  <c r="Y212" i="13"/>
  <c r="K15" i="13"/>
  <c r="L130" i="13"/>
  <c r="T130" i="13"/>
  <c r="K138" i="13"/>
  <c r="S138" i="13"/>
  <c r="AA138" i="13"/>
  <c r="U140" i="13" s="1"/>
  <c r="L149" i="13"/>
  <c r="T149" i="13"/>
  <c r="K156" i="13"/>
  <c r="T156" i="13"/>
  <c r="H161" i="13"/>
  <c r="D162" i="13"/>
  <c r="D161" i="13"/>
  <c r="L162" i="13"/>
  <c r="L161" i="13"/>
  <c r="T162" i="13"/>
  <c r="T161" i="13"/>
  <c r="D165" i="13"/>
  <c r="T181" i="13"/>
  <c r="E176" i="13"/>
  <c r="E175" i="13"/>
  <c r="M176" i="13"/>
  <c r="M175" i="13"/>
  <c r="U176" i="13"/>
  <c r="U175" i="13"/>
  <c r="L179" i="13"/>
  <c r="N181" i="13"/>
  <c r="G188" i="13"/>
  <c r="W188" i="13"/>
  <c r="M203" i="13"/>
  <c r="J207" i="13"/>
  <c r="AA15" i="13"/>
  <c r="D24" i="13"/>
  <c r="H4" i="13"/>
  <c r="P4" i="13"/>
  <c r="X4" i="13"/>
  <c r="D15" i="13"/>
  <c r="L15" i="13"/>
  <c r="T15" i="13"/>
  <c r="I26" i="13"/>
  <c r="Q26" i="13"/>
  <c r="Y26" i="13"/>
  <c r="M130" i="13"/>
  <c r="U130" i="13"/>
  <c r="E135" i="13"/>
  <c r="M135" i="13"/>
  <c r="U135" i="13"/>
  <c r="E136" i="13"/>
  <c r="L138" i="13"/>
  <c r="T138" i="13"/>
  <c r="D253" i="13"/>
  <c r="Z156" i="13"/>
  <c r="R156" i="13"/>
  <c r="D140" i="13"/>
  <c r="E149" i="13"/>
  <c r="M149" i="13"/>
  <c r="U149" i="13"/>
  <c r="E153" i="13"/>
  <c r="M153" i="13"/>
  <c r="U153" i="13"/>
  <c r="E154" i="13"/>
  <c r="D156" i="13"/>
  <c r="L156" i="13"/>
  <c r="U156" i="13"/>
  <c r="I161" i="13"/>
  <c r="R161" i="13"/>
  <c r="M162" i="13"/>
  <c r="V162" i="13"/>
  <c r="I168" i="13"/>
  <c r="Y169" i="13"/>
  <c r="F175" i="13"/>
  <c r="T176" i="13"/>
  <c r="P181" i="13"/>
  <c r="H186" i="13"/>
  <c r="H188" i="13"/>
  <c r="X188" i="13"/>
  <c r="J186" i="13"/>
  <c r="J185" i="13"/>
  <c r="R186" i="13"/>
  <c r="R185" i="13"/>
  <c r="Z186" i="13"/>
  <c r="Z185" i="13"/>
  <c r="J192" i="13"/>
  <c r="Z192" i="13"/>
  <c r="Q197" i="13"/>
  <c r="F199" i="13"/>
  <c r="P203" i="13"/>
  <c r="M207" i="13"/>
  <c r="S15" i="13"/>
  <c r="I4" i="13"/>
  <c r="Q4" i="13"/>
  <c r="Y4" i="13"/>
  <c r="I8" i="13"/>
  <c r="Q8" i="13"/>
  <c r="Y8" i="13"/>
  <c r="E15" i="13"/>
  <c r="M15" i="13"/>
  <c r="U15" i="13"/>
  <c r="G20" i="13"/>
  <c r="O20" i="13"/>
  <c r="W20" i="13"/>
  <c r="J26" i="13"/>
  <c r="R26" i="13"/>
  <c r="Z26" i="13"/>
  <c r="F130" i="13"/>
  <c r="N130" i="13"/>
  <c r="V130" i="13"/>
  <c r="F135" i="13"/>
  <c r="N135" i="13"/>
  <c r="V135" i="13"/>
  <c r="F136" i="13"/>
  <c r="M138" i="13"/>
  <c r="U138" i="13"/>
  <c r="F149" i="13"/>
  <c r="N149" i="13"/>
  <c r="V149" i="13"/>
  <c r="F153" i="13"/>
  <c r="N153" i="13"/>
  <c r="V153" i="13"/>
  <c r="E156" i="13"/>
  <c r="M156" i="13"/>
  <c r="V156" i="13"/>
  <c r="J161" i="13"/>
  <c r="E162" i="13"/>
  <c r="W162" i="13"/>
  <c r="L165" i="13"/>
  <c r="S168" i="13"/>
  <c r="V176" i="13"/>
  <c r="Q181" i="13"/>
  <c r="H185" i="13"/>
  <c r="J188" i="13"/>
  <c r="Z188" i="13"/>
  <c r="L192" i="13"/>
  <c r="Q196" i="13"/>
  <c r="H199" i="13"/>
  <c r="AA199" i="13"/>
  <c r="U201" i="13" s="1"/>
  <c r="K197" i="13"/>
  <c r="K196" i="13"/>
  <c r="S197" i="13"/>
  <c r="S196" i="13"/>
  <c r="AA197" i="13"/>
  <c r="AA196" i="13"/>
  <c r="R203" i="13"/>
  <c r="P207" i="13"/>
  <c r="U226" i="13"/>
  <c r="L216" i="13"/>
  <c r="L140" i="13"/>
  <c r="G149" i="13"/>
  <c r="O149" i="13"/>
  <c r="W149" i="13"/>
  <c r="F156" i="13"/>
  <c r="N156" i="13"/>
  <c r="W156" i="13"/>
  <c r="AA169" i="13"/>
  <c r="AA168" i="13"/>
  <c r="H176" i="13"/>
  <c r="H175" i="13"/>
  <c r="P176" i="13"/>
  <c r="P175" i="13"/>
  <c r="X176" i="13"/>
  <c r="X175" i="13"/>
  <c r="F181" i="13"/>
  <c r="S181" i="13"/>
  <c r="M188" i="13"/>
  <c r="W207" i="13"/>
  <c r="U203" i="13"/>
  <c r="R207" i="13"/>
  <c r="K222" i="13"/>
  <c r="K221" i="13"/>
  <c r="S222" i="13"/>
  <c r="S221" i="13"/>
  <c r="AA222" i="13"/>
  <c r="AA221" i="13"/>
  <c r="V15" i="13"/>
  <c r="D35" i="13"/>
  <c r="K4" i="13"/>
  <c r="S4" i="13"/>
  <c r="AA4" i="13"/>
  <c r="G15" i="13"/>
  <c r="O15" i="13"/>
  <c r="W15" i="13"/>
  <c r="D26" i="13"/>
  <c r="L26" i="13"/>
  <c r="T26" i="13"/>
  <c r="H130" i="13"/>
  <c r="P130" i="13"/>
  <c r="X130" i="13"/>
  <c r="H135" i="13"/>
  <c r="P135" i="13"/>
  <c r="X135" i="13"/>
  <c r="G138" i="13"/>
  <c r="O138" i="13"/>
  <c r="W138" i="13"/>
  <c r="H149" i="13"/>
  <c r="P149" i="13"/>
  <c r="X149" i="13"/>
  <c r="H153" i="13"/>
  <c r="P153" i="13"/>
  <c r="X153" i="13"/>
  <c r="G156" i="13"/>
  <c r="O156" i="13"/>
  <c r="X156" i="13"/>
  <c r="M161" i="13"/>
  <c r="P162" i="13"/>
  <c r="L168" i="13"/>
  <c r="Y176" i="13"/>
  <c r="H181" i="13"/>
  <c r="V181" i="13"/>
  <c r="K185" i="13"/>
  <c r="O188" i="13"/>
  <c r="E186" i="13"/>
  <c r="E185" i="13"/>
  <c r="U192" i="13"/>
  <c r="M192" i="13"/>
  <c r="E192" i="13"/>
  <c r="Y199" i="13"/>
  <c r="Q199" i="13"/>
  <c r="M186" i="13"/>
  <c r="M185" i="13"/>
  <c r="U186" i="13"/>
  <c r="U185" i="13"/>
  <c r="Q192" i="13"/>
  <c r="G196" i="13"/>
  <c r="T196" i="13"/>
  <c r="I197" i="13"/>
  <c r="K199" i="13"/>
  <c r="X203" i="13"/>
  <c r="J212" i="13"/>
  <c r="Z212" i="13"/>
  <c r="R213" i="13"/>
  <c r="V226" i="13"/>
  <c r="N226" i="13"/>
  <c r="F226" i="13"/>
  <c r="AA226" i="13"/>
  <c r="S226" i="13"/>
  <c r="K226" i="13"/>
  <c r="F213" i="13"/>
  <c r="F212" i="13"/>
  <c r="X226" i="13"/>
  <c r="P226" i="13"/>
  <c r="H226" i="13"/>
  <c r="N213" i="13"/>
  <c r="N212" i="13"/>
  <c r="V213" i="13"/>
  <c r="V212" i="13"/>
  <c r="D225" i="13"/>
  <c r="L4" i="13"/>
  <c r="T4" i="13"/>
  <c r="H15" i="13"/>
  <c r="P15" i="13"/>
  <c r="X15" i="13"/>
  <c r="E26" i="13"/>
  <c r="M26" i="13"/>
  <c r="U26" i="13"/>
  <c r="I130" i="13"/>
  <c r="Q130" i="13"/>
  <c r="Y130" i="13"/>
  <c r="H138" i="13"/>
  <c r="P138" i="13"/>
  <c r="X138" i="13"/>
  <c r="I149" i="13"/>
  <c r="Q149" i="13"/>
  <c r="Y149" i="13"/>
  <c r="I153" i="13"/>
  <c r="Q153" i="13"/>
  <c r="Y153" i="13"/>
  <c r="H156" i="13"/>
  <c r="P156" i="13"/>
  <c r="Y156" i="13"/>
  <c r="E161" i="13"/>
  <c r="W161" i="13"/>
  <c r="D168" i="13"/>
  <c r="I169" i="13"/>
  <c r="T169" i="13"/>
  <c r="Y175" i="13"/>
  <c r="N176" i="13"/>
  <c r="I181" i="13"/>
  <c r="X181" i="13"/>
  <c r="P188" i="13"/>
  <c r="F197" i="13"/>
  <c r="F196" i="13"/>
  <c r="AA207" i="13"/>
  <c r="U209" i="13" s="1"/>
  <c r="S207" i="13"/>
  <c r="K207" i="13"/>
  <c r="AA203" i="13"/>
  <c r="S203" i="13"/>
  <c r="K203" i="13"/>
  <c r="N197" i="13"/>
  <c r="N196" i="13"/>
  <c r="V197" i="13"/>
  <c r="V196" i="13"/>
  <c r="E203" i="13"/>
  <c r="Z203" i="13"/>
  <c r="X207" i="13"/>
  <c r="E4" i="13"/>
  <c r="M4" i="13"/>
  <c r="U4" i="13"/>
  <c r="E8" i="13"/>
  <c r="M8" i="13"/>
  <c r="U8" i="13"/>
  <c r="D13" i="13"/>
  <c r="I15" i="13"/>
  <c r="Q15" i="13"/>
  <c r="F26" i="13"/>
  <c r="N26" i="13"/>
  <c r="J130" i="13"/>
  <c r="R130" i="13"/>
  <c r="Z130" i="13"/>
  <c r="I138" i="13"/>
  <c r="Q138" i="13"/>
  <c r="Y138" i="13"/>
  <c r="J149" i="13"/>
  <c r="R149" i="13"/>
  <c r="I156" i="13"/>
  <c r="Q156" i="13"/>
  <c r="F169" i="13"/>
  <c r="F168" i="13"/>
  <c r="N169" i="13"/>
  <c r="N168" i="13"/>
  <c r="V169" i="13"/>
  <c r="V168" i="13"/>
  <c r="N175" i="13"/>
  <c r="K176" i="13"/>
  <c r="K175" i="13"/>
  <c r="S176" i="13"/>
  <c r="S175" i="13"/>
  <c r="AA176" i="13"/>
  <c r="AA175" i="13"/>
  <c r="K181" i="13"/>
  <c r="Y181" i="13"/>
  <c r="R188" i="13"/>
  <c r="G186" i="13"/>
  <c r="G185" i="13"/>
  <c r="O186" i="13"/>
  <c r="O185" i="13"/>
  <c r="W186" i="13"/>
  <c r="W185" i="13"/>
  <c r="T192" i="13"/>
  <c r="W196" i="13"/>
  <c r="P199" i="13"/>
  <c r="H203" i="13"/>
  <c r="E207" i="13"/>
  <c r="Z207" i="13"/>
  <c r="D179" i="13"/>
  <c r="G181" i="13"/>
  <c r="O181" i="13"/>
  <c r="W181" i="13"/>
  <c r="F188" i="13"/>
  <c r="N188" i="13"/>
  <c r="V188" i="13"/>
  <c r="L190" i="13"/>
  <c r="H192" i="13"/>
  <c r="P192" i="13"/>
  <c r="X192" i="13"/>
  <c r="G199" i="13"/>
  <c r="O199" i="13"/>
  <c r="W199" i="13"/>
  <c r="I203" i="13"/>
  <c r="Q203" i="13"/>
  <c r="Y203" i="13"/>
  <c r="I207" i="13"/>
  <c r="Q207" i="13"/>
  <c r="Y207" i="13"/>
  <c r="K212" i="13"/>
  <c r="S212" i="13"/>
  <c r="AA212" i="13"/>
  <c r="E221" i="13"/>
  <c r="M221" i="13"/>
  <c r="U221" i="13"/>
  <c r="E222" i="13"/>
  <c r="G226" i="13"/>
  <c r="O226" i="13"/>
  <c r="W226" i="13"/>
  <c r="G229" i="13"/>
  <c r="O229" i="13"/>
  <c r="W229" i="13"/>
  <c r="E236" i="13"/>
  <c r="M236" i="13"/>
  <c r="U236" i="13"/>
  <c r="E240" i="13"/>
  <c r="M240" i="13"/>
  <c r="U240" i="13"/>
  <c r="F236" i="13"/>
  <c r="N236" i="13"/>
  <c r="V236" i="13"/>
  <c r="F240" i="13"/>
  <c r="N240" i="13"/>
  <c r="V240" i="13"/>
  <c r="L242" i="13"/>
  <c r="D216" i="13"/>
  <c r="I226" i="13"/>
  <c r="Q226" i="13"/>
  <c r="Y226" i="13"/>
  <c r="G236" i="13"/>
  <c r="O236" i="13"/>
  <c r="W236" i="13"/>
  <c r="G240" i="13"/>
  <c r="O240" i="13"/>
  <c r="W240" i="13"/>
  <c r="J181" i="13"/>
  <c r="R181" i="13"/>
  <c r="Z181" i="13"/>
  <c r="I188" i="13"/>
  <c r="Q188" i="13"/>
  <c r="Y188" i="13"/>
  <c r="K192" i="13"/>
  <c r="S192" i="13"/>
  <c r="AA192" i="13"/>
  <c r="J199" i="13"/>
  <c r="R199" i="13"/>
  <c r="Z199" i="13"/>
  <c r="D203" i="13"/>
  <c r="L203" i="13"/>
  <c r="T203" i="13"/>
  <c r="D207" i="13"/>
  <c r="L207" i="13"/>
  <c r="T207" i="13"/>
  <c r="H221" i="13"/>
  <c r="P221" i="13"/>
  <c r="X221" i="13"/>
  <c r="J226" i="13"/>
  <c r="R226" i="13"/>
  <c r="Z226" i="13"/>
  <c r="J229" i="13"/>
  <c r="R229" i="13"/>
  <c r="Z229" i="13"/>
  <c r="H236" i="13"/>
  <c r="P236" i="13"/>
  <c r="X236" i="13"/>
  <c r="H240" i="13"/>
  <c r="P240" i="13"/>
  <c r="X240" i="13"/>
  <c r="I236" i="13"/>
  <c r="Q236" i="13"/>
  <c r="Y236" i="13"/>
  <c r="I240" i="13"/>
  <c r="Q240" i="13"/>
  <c r="Y240" i="13"/>
  <c r="K188" i="13"/>
  <c r="S188" i="13"/>
  <c r="AA188" i="13"/>
  <c r="U190" i="13" s="1"/>
  <c r="D199" i="13"/>
  <c r="L199" i="13"/>
  <c r="T199" i="13"/>
  <c r="D201" i="13"/>
  <c r="F203" i="13"/>
  <c r="N203" i="13"/>
  <c r="V203" i="13"/>
  <c r="F207" i="13"/>
  <c r="N207" i="13"/>
  <c r="V207" i="13"/>
  <c r="H212" i="13"/>
  <c r="P212" i="13"/>
  <c r="X212" i="13"/>
  <c r="J221" i="13"/>
  <c r="R221" i="13"/>
  <c r="Z221" i="13"/>
  <c r="D226" i="13"/>
  <c r="L226" i="13"/>
  <c r="T226" i="13"/>
  <c r="D229" i="13"/>
  <c r="L229" i="13"/>
  <c r="T229" i="13"/>
  <c r="D230" i="13"/>
  <c r="J236" i="13"/>
  <c r="R236" i="13"/>
  <c r="Z236" i="13"/>
  <c r="J240" i="13"/>
  <c r="R240" i="13"/>
  <c r="Z240" i="13"/>
  <c r="E181" i="13"/>
  <c r="M181" i="13"/>
  <c r="U181" i="13"/>
  <c r="D188" i="13"/>
  <c r="L188" i="13"/>
  <c r="D190" i="13"/>
  <c r="F192" i="13"/>
  <c r="N192" i="13"/>
  <c r="V192" i="13"/>
  <c r="E199" i="13"/>
  <c r="M199" i="13"/>
  <c r="G203" i="13"/>
  <c r="O203" i="13"/>
  <c r="W203" i="13"/>
  <c r="G207" i="13"/>
  <c r="O207" i="13"/>
  <c r="E226" i="13"/>
  <c r="M226" i="13"/>
  <c r="E229" i="13"/>
  <c r="M229" i="13"/>
  <c r="U229" i="13"/>
  <c r="E230" i="13"/>
  <c r="D234" i="13"/>
  <c r="K236" i="13"/>
  <c r="S236" i="13"/>
  <c r="AA236" i="13"/>
  <c r="K240" i="13"/>
  <c r="S240" i="13"/>
  <c r="L236" i="13"/>
  <c r="T236" i="13"/>
  <c r="L240" i="13"/>
  <c r="AE46" i="3"/>
  <c r="G46" i="3" s="1"/>
  <c r="AT47" i="3"/>
  <c r="V47" i="3" s="1"/>
  <c r="Z46" i="3"/>
  <c r="B46" i="3" s="1"/>
  <c r="D252" i="13"/>
  <c r="X80" i="13"/>
  <c r="AU46" i="3"/>
  <c r="W46" i="3" s="1"/>
  <c r="AU47" i="3"/>
  <c r="W47" i="3" s="1"/>
  <c r="AF46" i="3"/>
  <c r="H46" i="3" s="1"/>
  <c r="AN46" i="3"/>
  <c r="P46" i="3" s="1"/>
  <c r="AV46" i="3"/>
  <c r="X46" i="3" s="1"/>
  <c r="AF47" i="3"/>
  <c r="H47" i="3" s="1"/>
  <c r="AN47" i="3"/>
  <c r="P47" i="3" s="1"/>
  <c r="AV47" i="3"/>
  <c r="X47" i="3" s="1"/>
  <c r="AM46" i="3"/>
  <c r="O46" i="3" s="1"/>
  <c r="AM47" i="3"/>
  <c r="O47" i="3" s="1"/>
  <c r="AG46" i="3"/>
  <c r="I46" i="3" s="1"/>
  <c r="AO46" i="3"/>
  <c r="Q46" i="3" s="1"/>
  <c r="AW46" i="3"/>
  <c r="Y46" i="3" s="1"/>
  <c r="AG47" i="3"/>
  <c r="I47" i="3" s="1"/>
  <c r="AO47" i="3"/>
  <c r="Q47" i="3" s="1"/>
  <c r="AW47" i="3"/>
  <c r="Y47" i="3" s="1"/>
  <c r="AP46" i="3"/>
  <c r="R46" i="3" s="1"/>
  <c r="AP47" i="3"/>
  <c r="R47" i="3" s="1"/>
  <c r="AA46" i="3"/>
  <c r="C46" i="3" s="1"/>
  <c r="AI46" i="3"/>
  <c r="K46" i="3" s="1"/>
  <c r="AQ46" i="3"/>
  <c r="S46" i="3" s="1"/>
  <c r="AA47" i="3"/>
  <c r="C47" i="3" s="1"/>
  <c r="AI47" i="3"/>
  <c r="K47" i="3" s="1"/>
  <c r="AQ47" i="3"/>
  <c r="S47" i="3" s="1"/>
  <c r="AH47" i="3"/>
  <c r="J47" i="3" s="1"/>
  <c r="AB46" i="3"/>
  <c r="D46" i="3" s="1"/>
  <c r="AJ46" i="3"/>
  <c r="L46" i="3" s="1"/>
  <c r="AR46" i="3"/>
  <c r="T46" i="3" s="1"/>
  <c r="AB47" i="3"/>
  <c r="D47" i="3" s="1"/>
  <c r="AJ47" i="3"/>
  <c r="L47" i="3" s="1"/>
  <c r="AR47" i="3"/>
  <c r="T47" i="3" s="1"/>
  <c r="AE47" i="3"/>
  <c r="G47" i="3" s="1"/>
  <c r="AH46" i="3"/>
  <c r="J46" i="3" s="1"/>
  <c r="Z47" i="3"/>
  <c r="B47" i="3" s="1"/>
  <c r="AC46" i="3"/>
  <c r="E46" i="3" s="1"/>
  <c r="AK46" i="3"/>
  <c r="M46" i="3" s="1"/>
  <c r="AS46" i="3"/>
  <c r="U46" i="3" s="1"/>
  <c r="AC47" i="3"/>
  <c r="E47" i="3" s="1"/>
  <c r="AK47" i="3"/>
  <c r="M47" i="3" s="1"/>
  <c r="AS47" i="3"/>
  <c r="U47" i="3" s="1"/>
  <c r="AD46" i="3"/>
  <c r="F46" i="3" s="1"/>
  <c r="AL46" i="3"/>
  <c r="N46" i="3" s="1"/>
  <c r="AT46" i="3"/>
  <c r="V46" i="3" s="1"/>
  <c r="AD47" i="3"/>
  <c r="F47" i="3" s="1"/>
  <c r="AL47" i="3"/>
  <c r="N47" i="3" s="1"/>
  <c r="H246" i="13" l="1"/>
  <c r="H242" i="13"/>
  <c r="O242" i="13"/>
  <c r="O246" i="13"/>
  <c r="O172" i="13"/>
  <c r="H250" i="13"/>
  <c r="O250" i="13"/>
  <c r="R216" i="13"/>
  <c r="O216" i="13"/>
  <c r="H216" i="13"/>
  <c r="R225" i="13"/>
  <c r="O225" i="13"/>
  <c r="H225" i="13"/>
  <c r="R140" i="13"/>
  <c r="O140" i="13"/>
  <c r="H140" i="13"/>
  <c r="H201" i="13"/>
  <c r="O201" i="13"/>
  <c r="R201" i="13"/>
  <c r="AA13" i="13"/>
  <c r="I13" i="13"/>
  <c r="R190" i="13"/>
  <c r="O190" i="13"/>
  <c r="H190" i="13"/>
  <c r="R165" i="13"/>
  <c r="O165" i="13"/>
  <c r="H165" i="13"/>
  <c r="R158" i="13"/>
  <c r="O158" i="13"/>
  <c r="H158" i="13"/>
  <c r="O209" i="13"/>
  <c r="R209" i="13"/>
  <c r="H209" i="13"/>
  <c r="O179" i="13"/>
  <c r="R179" i="13"/>
  <c r="H179" i="13"/>
  <c r="W232" i="13"/>
  <c r="O232" i="13"/>
  <c r="G232" i="13"/>
  <c r="X228" i="13"/>
  <c r="P228" i="13"/>
  <c r="H228" i="13"/>
  <c r="X227" i="13"/>
  <c r="P227" i="13"/>
  <c r="H227" i="13"/>
  <c r="L228" i="13"/>
  <c r="V232" i="13"/>
  <c r="N232" i="13"/>
  <c r="F232" i="13"/>
  <c r="W228" i="13"/>
  <c r="O228" i="13"/>
  <c r="G228" i="13"/>
  <c r="W227" i="13"/>
  <c r="O227" i="13"/>
  <c r="G227" i="13"/>
  <c r="K232" i="13"/>
  <c r="T228" i="13"/>
  <c r="L227" i="13"/>
  <c r="U232" i="13"/>
  <c r="M232" i="13"/>
  <c r="E232" i="13"/>
  <c r="V228" i="13"/>
  <c r="N228" i="13"/>
  <c r="F228" i="13"/>
  <c r="V227" i="13"/>
  <c r="N227" i="13"/>
  <c r="F227" i="13"/>
  <c r="AA232" i="13"/>
  <c r="U234" i="13" s="1"/>
  <c r="D228" i="13"/>
  <c r="D227" i="13"/>
  <c r="T232" i="13"/>
  <c r="L232" i="13"/>
  <c r="D232" i="13"/>
  <c r="U228" i="13"/>
  <c r="M228" i="13"/>
  <c r="E228" i="13"/>
  <c r="U227" i="13"/>
  <c r="M227" i="13"/>
  <c r="E227" i="13"/>
  <c r="S232" i="13"/>
  <c r="T227" i="13"/>
  <c r="Z232" i="13"/>
  <c r="R232" i="13"/>
  <c r="J232" i="13"/>
  <c r="AA228" i="13"/>
  <c r="S228" i="13"/>
  <c r="K228" i="13"/>
  <c r="AA227" i="13"/>
  <c r="S227" i="13"/>
  <c r="K227" i="13"/>
  <c r="P232" i="13"/>
  <c r="H232" i="13"/>
  <c r="I228" i="13"/>
  <c r="I227" i="13"/>
  <c r="Y232" i="13"/>
  <c r="Q232" i="13"/>
  <c r="I232" i="13"/>
  <c r="Z228" i="13"/>
  <c r="R228" i="13"/>
  <c r="J228" i="13"/>
  <c r="Z227" i="13"/>
  <c r="R227" i="13"/>
  <c r="J227" i="13"/>
  <c r="X232" i="13"/>
  <c r="Y228" i="13"/>
  <c r="Q228" i="13"/>
  <c r="Y227" i="13"/>
  <c r="Q227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Mohammed A Y Abdallah (TRANSCO)</author>
  </authors>
  <commentList>
    <comment ref="F101" authorId="0" shapeId="0" xr:uid="{00000000-0006-0000-0200-000034000000}">
      <text>
        <r>
          <rPr>
            <b/>
            <sz val="9"/>
            <color indexed="81"/>
            <rFont val="Tahoma"/>
            <family val="2"/>
          </rPr>
          <t>Mohammed A Y Abdallah (TRANSCO):</t>
        </r>
        <r>
          <rPr>
            <sz val="9"/>
            <color indexed="81"/>
            <rFont val="Tahoma"/>
            <family val="2"/>
          </rPr>
          <t xml:space="preserve">
Estimation in WR-17</t>
        </r>
      </text>
    </comment>
    <comment ref="F106" authorId="0" shapeId="0" xr:uid="{00000000-0006-0000-0200-000035000000}">
      <text>
        <r>
          <rPr>
            <b/>
            <sz val="9"/>
            <color indexed="81"/>
            <rFont val="Tahoma"/>
            <family val="2"/>
          </rPr>
          <t>Mohammed A Y Abdallah (TRANSCO):</t>
        </r>
        <r>
          <rPr>
            <sz val="9"/>
            <color indexed="81"/>
            <rFont val="Tahoma"/>
            <family val="2"/>
          </rPr>
          <t xml:space="preserve">
Estimation in WR-44 and Silaa</t>
        </r>
      </text>
    </comment>
  </commentList>
</comments>
</file>

<file path=xl/sharedStrings.xml><?xml version="1.0" encoding="utf-8"?>
<sst xmlns="http://schemas.openxmlformats.org/spreadsheetml/2006/main" count="584" uniqueCount="268">
  <si>
    <t>22/12/2019</t>
  </si>
  <si>
    <t>Specific Energy (kWh/m3)</t>
  </si>
  <si>
    <t>Final storage (m3, %)</t>
  </si>
  <si>
    <t>Maximum storage (m3,%)</t>
  </si>
  <si>
    <t>Hours</t>
  </si>
  <si>
    <t>Energy consumption (kWh)</t>
  </si>
  <si>
    <t>Energy cost (AED)</t>
  </si>
  <si>
    <t>OAARS</t>
  </si>
  <si>
    <t>Total Pumping (MIG)</t>
  </si>
  <si>
    <t>Initial flow (m3/hr)</t>
  </si>
  <si>
    <t>Minimum storage     (m3, %)</t>
  </si>
  <si>
    <t>Maximum pump OR tank outlet flow (m3/h)</t>
  </si>
  <si>
    <t>Maximum tank inlet flow (m3/hr)</t>
  </si>
  <si>
    <t>Minimum pump flow (m3/h)</t>
  </si>
  <si>
    <t>Initial storage                      (m3, %)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</si>
  <si>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</si>
  <si>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</si>
  <si>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</si>
  <si>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</si>
  <si>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</si>
  <si>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</si>
  <si>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</si>
  <si>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</si>
  <si>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</si>
  <si>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</si>
  <si>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</si>
  <si>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</si>
  <si>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Network Optimum energy cost (AED)</t>
  </si>
  <si>
    <t>Final Level Deviation</t>
  </si>
  <si>
    <t>Final Storage Deviation</t>
  </si>
  <si>
    <t>Total Storage Deviation</t>
  </si>
  <si>
    <t>Allowed storage deviation</t>
  </si>
  <si>
    <t>AED/m3</t>
  </si>
  <si>
    <t>Semi continuous flow</t>
  </si>
  <si>
    <t>Inlet-gravity</t>
  </si>
  <si>
    <t>Inlet-pumping</t>
  </si>
  <si>
    <t>Total inlet</t>
  </si>
  <si>
    <t>Optimum running pumps</t>
  </si>
  <si>
    <t xml:space="preserve">Min running pumps </t>
  </si>
  <si>
    <t xml:space="preserve">Max running pumps </t>
  </si>
  <si>
    <t xml:space="preserve">Fixed running pumps </t>
  </si>
  <si>
    <t xml:space="preserve">Pump decrement </t>
  </si>
  <si>
    <t xml:space="preserve">Pump increment </t>
  </si>
  <si>
    <t xml:space="preserve">Max pump change </t>
  </si>
  <si>
    <t>Actual flow change</t>
  </si>
  <si>
    <t xml:space="preserve">Storage </t>
  </si>
  <si>
    <t xml:space="preserve">Min storage </t>
  </si>
  <si>
    <t xml:space="preserve">Max storage </t>
  </si>
  <si>
    <t xml:space="preserve">Optimum storage </t>
  </si>
  <si>
    <t>Fixed flow</t>
  </si>
  <si>
    <t xml:space="preserve">Flow decrement </t>
  </si>
  <si>
    <t xml:space="preserve">Flow increment </t>
  </si>
  <si>
    <t xml:space="preserve">Max flow change </t>
  </si>
  <si>
    <t xml:space="preserve">Optimum flow </t>
  </si>
  <si>
    <t xml:space="preserve">Fixed flow </t>
  </si>
  <si>
    <t xml:space="preserve">Optimum inlet-gravity </t>
  </si>
  <si>
    <t xml:space="preserve">Optimum inlet-pumping </t>
  </si>
  <si>
    <t xml:space="preserve">Max inlet </t>
  </si>
  <si>
    <t xml:space="preserve">Optimum inlet </t>
  </si>
  <si>
    <t xml:space="preserve">Min outlet </t>
  </si>
  <si>
    <t xml:space="preserve">Max outlet </t>
  </si>
  <si>
    <t xml:space="preserve">Optimum inlet flow </t>
  </si>
  <si>
    <t xml:space="preserve">Maximum inlet </t>
  </si>
  <si>
    <t xml:space="preserve">Optimum outlet flow </t>
  </si>
  <si>
    <t xml:space="preserve">Inlet OR outlet </t>
  </si>
  <si>
    <t>Fixed flow (pumping)</t>
  </si>
  <si>
    <t>Max outlet</t>
  </si>
  <si>
    <t>Load shifting</t>
  </si>
  <si>
    <t>Total to NMRF (MIG)</t>
  </si>
  <si>
    <t>SHW-NMRF AED/m3</t>
  </si>
  <si>
    <t>Load shifting 13-17</t>
  </si>
  <si>
    <t>Energy cost saving</t>
  </si>
  <si>
    <t>NMR AED/m3</t>
  </si>
  <si>
    <t>MPS AED/m3</t>
  </si>
  <si>
    <t>Tecton AED/m3</t>
  </si>
  <si>
    <t>Cost savings</t>
  </si>
  <si>
    <t>Optimum flow to IPS1</t>
  </si>
  <si>
    <t>Optimum energy cost (AED)</t>
  </si>
  <si>
    <t>Total to MDZ (MIG)</t>
  </si>
  <si>
    <t>Total to IPS1 (MIG)</t>
  </si>
  <si>
    <t>Optimum flow to IPS2</t>
  </si>
  <si>
    <t>Total to IPS2 (MIG)</t>
  </si>
  <si>
    <t>Optimum flow to MDZ</t>
  </si>
  <si>
    <t>Break tank AED/m3</t>
  </si>
  <si>
    <t>DPS AED/m3</t>
  </si>
  <si>
    <t>Optimum outlet</t>
  </si>
  <si>
    <t>Total outlet</t>
  </si>
  <si>
    <t>Final level deviation</t>
  </si>
  <si>
    <t>East AED/m3</t>
  </si>
  <si>
    <t>West AED/m3</t>
  </si>
  <si>
    <t>Township AED/m3</t>
  </si>
  <si>
    <t>Total DPS to BRKT (MIG)</t>
  </si>
  <si>
    <t>Optimu storage</t>
  </si>
  <si>
    <t>Optimum East</t>
  </si>
  <si>
    <t>Total East</t>
  </si>
  <si>
    <t>Optimum West</t>
  </si>
  <si>
    <t>Total West</t>
  </si>
  <si>
    <t>Total Township</t>
  </si>
  <si>
    <t>Optimum Township</t>
  </si>
  <si>
    <t>Total MDZ to BRK (MIG)</t>
  </si>
  <si>
    <t>B1</t>
  </si>
  <si>
    <t>To dis. &amp; trans.</t>
  </si>
  <si>
    <t>Total dis. &amp; trans. (MIG)</t>
  </si>
  <si>
    <t>To MDZ</t>
  </si>
  <si>
    <t>R2</t>
  </si>
  <si>
    <t>Min outlet</t>
  </si>
  <si>
    <t>To NMRF</t>
  </si>
  <si>
    <t>To Dis.</t>
  </si>
  <si>
    <t>To BRK</t>
  </si>
  <si>
    <t>P1</t>
  </si>
  <si>
    <t>P2</t>
  </si>
  <si>
    <t>TW</t>
  </si>
  <si>
    <t>TW July</t>
  </si>
  <si>
    <t>TW August</t>
  </si>
  <si>
    <t>TW September</t>
  </si>
  <si>
    <t>TW October</t>
  </si>
  <si>
    <t>TW November</t>
  </si>
  <si>
    <t>TW December</t>
  </si>
  <si>
    <t>FJ</t>
  </si>
  <si>
    <t>FJ July</t>
  </si>
  <si>
    <t>FJ August</t>
  </si>
  <si>
    <t>FJ September</t>
  </si>
  <si>
    <t>FJ October</t>
  </si>
  <si>
    <t>FJ November</t>
  </si>
  <si>
    <t>FJ December</t>
  </si>
  <si>
    <t>SH</t>
  </si>
  <si>
    <t>SH July</t>
  </si>
  <si>
    <t>SH August</t>
  </si>
  <si>
    <t>SH Spetember</t>
  </si>
  <si>
    <t>SH October</t>
  </si>
  <si>
    <t>SH November</t>
  </si>
  <si>
    <t>SH December</t>
  </si>
  <si>
    <t>MR</t>
  </si>
  <si>
    <t>MR July</t>
  </si>
  <si>
    <t>MR August</t>
  </si>
  <si>
    <t>MR September</t>
  </si>
  <si>
    <t>MR October</t>
  </si>
  <si>
    <t>MR December</t>
  </si>
  <si>
    <t>Tariff</t>
  </si>
  <si>
    <t>Tarif</t>
  </si>
  <si>
    <t>GA</t>
  </si>
  <si>
    <t>BP</t>
  </si>
  <si>
    <t>GH</t>
  </si>
  <si>
    <t>SY</t>
  </si>
  <si>
    <t>SL</t>
  </si>
  <si>
    <t>AAA</t>
  </si>
  <si>
    <t>TF</t>
  </si>
  <si>
    <t>DB</t>
  </si>
  <si>
    <t>MF</t>
  </si>
  <si>
    <t>LWEW</t>
  </si>
  <si>
    <t>MDZ</t>
  </si>
  <si>
    <t>AD+GA</t>
  </si>
  <si>
    <t>SAL</t>
  </si>
  <si>
    <t>TW A+B2</t>
  </si>
  <si>
    <t>P</t>
  </si>
  <si>
    <t>Z</t>
  </si>
  <si>
    <t>M</t>
  </si>
  <si>
    <t>SD</t>
  </si>
  <si>
    <t>AD</t>
  </si>
  <si>
    <t>TOW</t>
  </si>
  <si>
    <t>RM</t>
  </si>
  <si>
    <t>Q2</t>
  </si>
  <si>
    <t>DD</t>
  </si>
  <si>
    <t>HM</t>
  </si>
  <si>
    <t>T6</t>
  </si>
  <si>
    <t>T7</t>
  </si>
  <si>
    <t>MRI-S</t>
  </si>
  <si>
    <t>NAARS-GF</t>
  </si>
  <si>
    <t>N</t>
  </si>
  <si>
    <t>O</t>
  </si>
  <si>
    <t>Day</t>
  </si>
  <si>
    <t>A</t>
  </si>
  <si>
    <t>A1</t>
  </si>
  <si>
    <t>B2</t>
  </si>
  <si>
    <t>B3</t>
  </si>
  <si>
    <t>B</t>
  </si>
  <si>
    <t>C</t>
  </si>
  <si>
    <t>C1</t>
  </si>
  <si>
    <t>C2</t>
  </si>
  <si>
    <t>D1</t>
  </si>
  <si>
    <t>D</t>
  </si>
  <si>
    <t>E</t>
  </si>
  <si>
    <t>F</t>
  </si>
  <si>
    <t>G</t>
  </si>
  <si>
    <t>H</t>
  </si>
  <si>
    <t>H1</t>
  </si>
  <si>
    <t>H2</t>
  </si>
  <si>
    <t>I</t>
  </si>
  <si>
    <t>J</t>
  </si>
  <si>
    <t>J1</t>
  </si>
  <si>
    <t>J2</t>
  </si>
  <si>
    <t>K</t>
  </si>
  <si>
    <t>K1</t>
  </si>
  <si>
    <t>K2</t>
  </si>
  <si>
    <t>K3</t>
  </si>
  <si>
    <t>K4</t>
  </si>
  <si>
    <t>L</t>
  </si>
  <si>
    <t>N1</t>
  </si>
  <si>
    <t>N2</t>
  </si>
  <si>
    <t>N3</t>
  </si>
  <si>
    <t>P3</t>
  </si>
  <si>
    <t xml:space="preserve">A absolute flow change </t>
  </si>
  <si>
    <t xml:space="preserve">A optimum outlet </t>
  </si>
  <si>
    <t xml:space="preserve">B3 absolute flow change-pumping </t>
  </si>
  <si>
    <t xml:space="preserve">B3 optimum inlet-gravity </t>
  </si>
  <si>
    <t xml:space="preserve">B1 optimum outlet to SWH only </t>
  </si>
  <si>
    <t xml:space="preserve">B1 absolute flow change </t>
  </si>
  <si>
    <t xml:space="preserve">B2 absolute flow change </t>
  </si>
  <si>
    <t xml:space="preserve">B2 optimum outlet </t>
  </si>
  <si>
    <t xml:space="preserve">B3 optimum inlet-pumping </t>
  </si>
  <si>
    <t xml:space="preserve">C1 optimum inlet </t>
  </si>
  <si>
    <t xml:space="preserve">C1 optimum outlet </t>
  </si>
  <si>
    <t xml:space="preserve">C2 absolute flow change </t>
  </si>
  <si>
    <t xml:space="preserve">C2 optimum outlet </t>
  </si>
  <si>
    <t>D1 absolute pump change</t>
  </si>
  <si>
    <t>D1 optimum running pumps</t>
  </si>
  <si>
    <t xml:space="preserve">E optimum inlet </t>
  </si>
  <si>
    <t xml:space="preserve">F optimum inlet </t>
  </si>
  <si>
    <t xml:space="preserve">G absolute flow change </t>
  </si>
  <si>
    <t xml:space="preserve">G optimum flow </t>
  </si>
  <si>
    <t>I semi-continuous flow</t>
  </si>
  <si>
    <t xml:space="preserve">I absolute flow change </t>
  </si>
  <si>
    <t xml:space="preserve">I optimum outlet </t>
  </si>
  <si>
    <t>J1 absolute flow change</t>
  </si>
  <si>
    <t>J1 optimum outlet</t>
  </si>
  <si>
    <t>J2 absolute flow change</t>
  </si>
  <si>
    <t>J2 optimum outlet</t>
  </si>
  <si>
    <t>K1 absolute flow change</t>
  </si>
  <si>
    <t>K1 optimum outlet</t>
  </si>
  <si>
    <t>K2 absolute flow change</t>
  </si>
  <si>
    <t>K2 optimum flow</t>
  </si>
  <si>
    <t>K3 absolute flow change</t>
  </si>
  <si>
    <t>K3 optimum outlet</t>
  </si>
  <si>
    <t>K4 absolute flow change</t>
  </si>
  <si>
    <t>K4 optimum outlet</t>
  </si>
  <si>
    <t>L absolute flow change</t>
  </si>
  <si>
    <t>L optimum outlet</t>
  </si>
  <si>
    <t>M absolute flow change</t>
  </si>
  <si>
    <t>M optimum outlet</t>
  </si>
  <si>
    <t>N1 optimum</t>
  </si>
  <si>
    <t>N2 flow change</t>
  </si>
  <si>
    <t>N3 binary</t>
  </si>
  <si>
    <t>N3 flow change</t>
  </si>
  <si>
    <t>O absolute flow change</t>
  </si>
  <si>
    <t>O optimum</t>
  </si>
  <si>
    <t>P1 optimum</t>
  </si>
  <si>
    <t>P2 optimum</t>
  </si>
  <si>
    <t>P3 optimum</t>
  </si>
  <si>
    <t>To SL</t>
  </si>
  <si>
    <t>SHW-SL AED/m3</t>
  </si>
  <si>
    <t>Total to SL (MIG)</t>
  </si>
  <si>
    <t>MF AED/m3</t>
  </si>
  <si>
    <t>Total to MF city (MIG)</t>
  </si>
  <si>
    <t>To MF city</t>
  </si>
  <si>
    <t>A0</t>
  </si>
  <si>
    <t>D0</t>
  </si>
  <si>
    <t>I1</t>
  </si>
  <si>
    <t>I2</t>
  </si>
  <si>
    <t>I3</t>
  </si>
  <si>
    <t>J3</t>
  </si>
  <si>
    <t>J4</t>
  </si>
  <si>
    <t>N4</t>
  </si>
  <si>
    <t>N5</t>
  </si>
  <si>
    <t>O1</t>
  </si>
  <si>
    <t>O2</t>
  </si>
  <si>
    <t>O3</t>
  </si>
  <si>
    <t>Electricity Tariff</t>
  </si>
  <si>
    <t>Pumping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</si>
</sst>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[$-F400]h:mm:ss\ AM/PM"/>
    <numFmt numFmtId="166" formatCode="_(* #,##0_);_(* \(#,##0\);_(* &quot;-&quot;??_);_(@_)"/>
    <numFmt numFmtId="167" formatCode="0.0000"/>
    <numFmt numFmtId="168" formatCode="_(* #,##0.0000_);_(* \(#,##0.0000\);_(* &quot;-&quot;??_);_(@_)"/>
    <numFmt numFmtId="169" formatCode="#,##0.0000"/>
    <numFmt numFmtId="170" formatCode="#,##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8" tint="-0.249977111117893"/>
      <name val="Calibri"/>
      <family val="2"/>
      <scheme val="minor"/>
    </font>
    <font>
      <b/>
      <sz val="10.6"/>
      <color theme="1"/>
      <name val="Calibri"/>
      <family val="2"/>
      <scheme val="minor"/>
    </font>
    <font>
      <sz val="10.6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8BE1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0" applyNumberFormat="0" applyFill="0" applyAlignment="0" applyProtection="0"/>
    <xf numFmtId="0" fontId="7" fillId="0" borderId="11" applyNumberFormat="0" applyFill="0" applyAlignment="0" applyProtection="0"/>
    <xf numFmtId="0" fontId="8" fillId="0" borderId="12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13" applyNumberFormat="0" applyAlignment="0" applyProtection="0"/>
    <xf numFmtId="0" fontId="13" fillId="8" borderId="14" applyNumberFormat="0" applyAlignment="0" applyProtection="0"/>
    <xf numFmtId="0" fontId="14" fillId="8" borderId="13" applyNumberFormat="0" applyAlignment="0" applyProtection="0"/>
    <xf numFmtId="0" fontId="15" fillId="0" borderId="15" applyNumberFormat="0" applyFill="0" applyAlignment="0" applyProtection="0"/>
    <xf numFmtId="0" fontId="16" fillId="9" borderId="16" applyNumberFormat="0" applyAlignment="0" applyProtection="0"/>
    <xf numFmtId="0" fontId="17" fillId="0" borderId="0" applyNumberFormat="0" applyFill="0" applyBorder="0" applyAlignment="0" applyProtection="0"/>
    <xf numFmtId="0" fontId="1" fillId="10" borderId="17" applyNumberFormat="0" applyFont="0" applyAlignment="0" applyProtection="0"/>
    <xf numFmtId="0" fontId="18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9" fillId="34" borderId="0" applyNumberFormat="0" applyBorder="0" applyAlignment="0" applyProtection="0"/>
  </cellStyleXfs>
  <cellXfs count="110">
    <xf numFmtId="0" fontId="0" fillId="0" borderId="0" xfId="0"/>
    <xf numFmtId="165" fontId="0" fillId="0" borderId="0" xfId="0" applyNumberFormat="1"/>
    <xf numFmtId="20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1" fontId="0" fillId="0" borderId="0" xfId="0" applyNumberFormat="1"/>
    <xf numFmtId="0" fontId="0" fillId="0" borderId="0" xfId="0" applyBorder="1"/>
    <xf numFmtId="0" fontId="0" fillId="0" borderId="1" xfId="0" applyBorder="1"/>
    <xf numFmtId="1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7" xfId="0" applyFill="1" applyBorder="1"/>
    <xf numFmtId="0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166" fontId="0" fillId="0" borderId="0" xfId="1" applyNumberFormat="1" applyFont="1" applyFill="1"/>
    <xf numFmtId="0" fontId="0" fillId="0" borderId="0" xfId="0" applyAlignment="1"/>
    <xf numFmtId="0" fontId="0" fillId="0" borderId="4" xfId="0" applyBorder="1" applyAlignment="1"/>
    <xf numFmtId="0" fontId="0" fillId="0" borderId="2" xfId="0" applyFill="1" applyBorder="1"/>
    <xf numFmtId="0" fontId="0" fillId="0" borderId="0" xfId="0" applyAlignment="1">
      <alignment vertical="top"/>
    </xf>
    <xf numFmtId="0" fontId="0" fillId="0" borderId="0" xfId="0" applyFill="1" applyBorder="1" applyAlignment="1"/>
    <xf numFmtId="0" fontId="0" fillId="0" borderId="6" xfId="0" applyFill="1" applyBorder="1" applyAlignment="1"/>
    <xf numFmtId="166" fontId="0" fillId="0" borderId="0" xfId="1" applyNumberFormat="1" applyFont="1" applyFill="1" applyAlignment="1"/>
    <xf numFmtId="0" fontId="0" fillId="0" borderId="2" xfId="0" applyFill="1" applyBorder="1" applyAlignment="1"/>
    <xf numFmtId="0" fontId="0" fillId="0" borderId="0" xfId="0" applyFill="1" applyAlignment="1">
      <alignment vertical="top"/>
    </xf>
    <xf numFmtId="0" fontId="0" fillId="0" borderId="0" xfId="0" applyFill="1" applyAlignment="1">
      <alignment horizontal="center"/>
    </xf>
    <xf numFmtId="166" fontId="0" fillId="0" borderId="0" xfId="1" applyNumberFormat="1" applyFont="1" applyAlignment="1">
      <alignment vertical="top" wrapText="1"/>
    </xf>
    <xf numFmtId="166" fontId="0" fillId="0" borderId="0" xfId="1" applyNumberFormat="1" applyFont="1" applyAlignment="1">
      <alignment vertical="top"/>
    </xf>
    <xf numFmtId="166" fontId="0" fillId="2" borderId="0" xfId="1" applyNumberFormat="1" applyFont="1" applyFill="1"/>
    <xf numFmtId="168" fontId="0" fillId="0" borderId="0" xfId="1" applyNumberFormat="1" applyFont="1"/>
    <xf numFmtId="2" fontId="0" fillId="0" borderId="0" xfId="0" applyNumberFormat="1" applyFill="1" applyBorder="1"/>
    <xf numFmtId="2" fontId="0" fillId="0" borderId="0" xfId="0" applyNumberFormat="1" applyBorder="1"/>
    <xf numFmtId="165" fontId="0" fillId="3" borderId="0" xfId="0" applyNumberFormat="1" applyFill="1"/>
    <xf numFmtId="165" fontId="0" fillId="0" borderId="0" xfId="0" applyNumberFormat="1" applyFill="1"/>
    <xf numFmtId="0" fontId="0" fillId="3" borderId="0" xfId="0" applyFill="1"/>
    <xf numFmtId="0" fontId="0" fillId="0" borderId="8" xfId="0" applyBorder="1"/>
    <xf numFmtId="0" fontId="0" fillId="0" borderId="9" xfId="0" applyBorder="1"/>
    <xf numFmtId="3" fontId="0" fillId="0" borderId="0" xfId="0" applyNumberFormat="1"/>
    <xf numFmtId="3" fontId="0" fillId="0" borderId="0" xfId="0" applyNumberFormat="1" applyBorder="1"/>
    <xf numFmtId="169" fontId="0" fillId="0" borderId="0" xfId="0" applyNumberFormat="1"/>
    <xf numFmtId="0" fontId="0" fillId="36" borderId="0" xfId="0" applyFill="1"/>
    <xf numFmtId="0" fontId="0" fillId="36" borderId="0" xfId="0" applyFill="1" applyBorder="1"/>
    <xf numFmtId="0" fontId="0" fillId="0" borderId="0" xfId="0"/>
    <xf numFmtId="0" fontId="0" fillId="0" borderId="19" xfId="0" applyFill="1" applyBorder="1"/>
    <xf numFmtId="2" fontId="0" fillId="0" borderId="0" xfId="0" applyNumberFormat="1"/>
    <xf numFmtId="1" fontId="0" fillId="0" borderId="4" xfId="0" applyNumberFormat="1" applyBorder="1"/>
    <xf numFmtId="1" fontId="0" fillId="0" borderId="6" xfId="0" applyNumberFormat="1" applyBorder="1"/>
    <xf numFmtId="1" fontId="0" fillId="0" borderId="0" xfId="0" applyNumberFormat="1" applyBorder="1"/>
    <xf numFmtId="1" fontId="0" fillId="0" borderId="2" xfId="0" applyNumberFormat="1" applyFill="1" applyBorder="1"/>
    <xf numFmtId="1" fontId="0" fillId="0" borderId="0" xfId="0" applyNumberFormat="1" applyFill="1" applyBorder="1"/>
    <xf numFmtId="2" fontId="0" fillId="0" borderId="0" xfId="0" applyNumberFormat="1" applyFill="1"/>
    <xf numFmtId="0" fontId="0" fillId="0" borderId="20" xfId="0" applyBorder="1"/>
    <xf numFmtId="2" fontId="0" fillId="0" borderId="20" xfId="0" applyNumberFormat="1" applyFill="1" applyBorder="1"/>
    <xf numFmtId="1" fontId="0" fillId="0" borderId="21" xfId="0" applyNumberFormat="1" applyBorder="1"/>
    <xf numFmtId="1" fontId="0" fillId="0" borderId="22" xfId="0" applyNumberFormat="1" applyBorder="1"/>
    <xf numFmtId="1" fontId="0" fillId="0" borderId="20" xfId="0" applyNumberFormat="1" applyBorder="1"/>
    <xf numFmtId="1" fontId="0" fillId="0" borderId="23" xfId="0" applyNumberFormat="1" applyBorder="1"/>
    <xf numFmtId="1" fontId="0" fillId="0" borderId="21" xfId="0" applyNumberFormat="1" applyFill="1" applyBorder="1"/>
    <xf numFmtId="1" fontId="0" fillId="0" borderId="20" xfId="0" applyNumberFormat="1" applyFill="1" applyBorder="1"/>
    <xf numFmtId="1" fontId="0" fillId="0" borderId="0" xfId="0" applyNumberFormat="1" applyFill="1"/>
    <xf numFmtId="164" fontId="0" fillId="0" borderId="0" xfId="1" applyNumberFormat="1" applyFont="1"/>
    <xf numFmtId="3" fontId="0" fillId="0" borderId="0" xfId="0" applyNumberFormat="1" applyFont="1"/>
    <xf numFmtId="1" fontId="0" fillId="0" borderId="4" xfId="0" applyNumberFormat="1" applyFill="1" applyBorder="1"/>
    <xf numFmtId="1" fontId="0" fillId="0" borderId="6" xfId="0" applyNumberFormat="1" applyFill="1" applyBorder="1"/>
    <xf numFmtId="166" fontId="0" fillId="0" borderId="0" xfId="1" applyNumberFormat="1" applyFont="1" applyAlignment="1">
      <alignment horizontal="center" vertical="top" wrapText="1"/>
    </xf>
    <xf numFmtId="168" fontId="0" fillId="0" borderId="0" xfId="1" applyNumberFormat="1" applyFont="1" applyAlignment="1">
      <alignment vertical="top" wrapText="1"/>
    </xf>
    <xf numFmtId="0" fontId="0" fillId="0" borderId="6" xfId="0" applyBorder="1" applyAlignment="1">
      <alignment vertical="top"/>
    </xf>
    <xf numFmtId="166" fontId="0" fillId="35" borderId="0" xfId="1" applyNumberFormat="1" applyFont="1" applyFill="1"/>
    <xf numFmtId="166" fontId="0" fillId="0" borderId="0" xfId="1" applyNumberFormat="1" applyFont="1" applyAlignment="1">
      <alignment horizontal="center" vertical="center" wrapText="1"/>
    </xf>
    <xf numFmtId="169" fontId="21" fillId="0" borderId="0" xfId="0" applyNumberFormat="1" applyFont="1"/>
    <xf numFmtId="3" fontId="21" fillId="0" borderId="0" xfId="0" applyNumberFormat="1" applyFont="1"/>
    <xf numFmtId="3" fontId="21" fillId="0" borderId="0" xfId="1" applyNumberFormat="1" applyFont="1"/>
    <xf numFmtId="169" fontId="21" fillId="0" borderId="0" xfId="0" applyNumberFormat="1" applyFont="1" applyBorder="1"/>
    <xf numFmtId="3" fontId="21" fillId="0" borderId="0" xfId="0" applyNumberFormat="1" applyFont="1" applyBorder="1"/>
    <xf numFmtId="3" fontId="21" fillId="0" borderId="0" xfId="0" applyNumberFormat="1" applyFont="1" applyFill="1" applyBorder="1"/>
    <xf numFmtId="3" fontId="22" fillId="0" borderId="0" xfId="0" applyNumberFormat="1" applyFont="1" applyFill="1" applyBorder="1"/>
    <xf numFmtId="3" fontId="22" fillId="0" borderId="0" xfId="0" applyNumberFormat="1" applyFont="1" applyBorder="1"/>
    <xf numFmtId="3" fontId="22" fillId="0" borderId="0" xfId="0" applyNumberFormat="1" applyFont="1"/>
    <xf numFmtId="3" fontId="22" fillId="0" borderId="0" xfId="0" applyNumberFormat="1" applyFont="1" applyFill="1"/>
    <xf numFmtId="3" fontId="21" fillId="0" borderId="6" xfId="0" applyNumberFormat="1" applyFont="1" applyFill="1" applyBorder="1"/>
    <xf numFmtId="169" fontId="21" fillId="0" borderId="0" xfId="0" applyNumberFormat="1" applyFont="1" applyFill="1" applyBorder="1"/>
    <xf numFmtId="3" fontId="21" fillId="0" borderId="0" xfId="0" applyNumberFormat="1" applyFont="1" applyFill="1"/>
    <xf numFmtId="3" fontId="21" fillId="0" borderId="6" xfId="0" applyNumberFormat="1" applyFont="1" applyBorder="1"/>
    <xf numFmtId="3" fontId="21" fillId="0" borderId="2" xfId="0" applyNumberFormat="1" applyFont="1" applyBorder="1"/>
    <xf numFmtId="3" fontId="23" fillId="0" borderId="0" xfId="0" applyNumberFormat="1" applyFont="1"/>
    <xf numFmtId="4" fontId="23" fillId="0" borderId="0" xfId="0" applyNumberFormat="1" applyFont="1"/>
    <xf numFmtId="169" fontId="24" fillId="0" borderId="0" xfId="0" applyNumberFormat="1" applyFont="1"/>
    <xf numFmtId="3" fontId="24" fillId="0" borderId="0" xfId="0" applyNumberFormat="1" applyFont="1"/>
    <xf numFmtId="3" fontId="24" fillId="0" borderId="24" xfId="1" applyNumberFormat="1" applyFont="1" applyBorder="1"/>
    <xf numFmtId="3" fontId="24" fillId="0" borderId="0" xfId="1" applyNumberFormat="1" applyFont="1"/>
    <xf numFmtId="3" fontId="24" fillId="0" borderId="0" xfId="0" applyNumberFormat="1" applyFont="1" applyAlignment="1"/>
    <xf numFmtId="3" fontId="24" fillId="0" borderId="25" xfId="1" applyNumberFormat="1" applyFont="1" applyBorder="1"/>
    <xf numFmtId="3" fontId="24" fillId="0" borderId="26" xfId="1" applyNumberFormat="1" applyFont="1" applyBorder="1"/>
    <xf numFmtId="3" fontId="24" fillId="36" borderId="0" xfId="0" applyNumberFormat="1" applyFont="1" applyFill="1" applyBorder="1"/>
    <xf numFmtId="170" fontId="24" fillId="0" borderId="0" xfId="1" applyNumberFormat="1" applyFont="1"/>
    <xf numFmtId="169" fontId="24" fillId="0" borderId="0" xfId="1" applyNumberFormat="1" applyFont="1"/>
    <xf numFmtId="4" fontId="24" fillId="0" borderId="0" xfId="1" applyNumberFormat="1" applyFont="1"/>
    <xf numFmtId="0" fontId="0" fillId="0" borderId="0" xfId="0" applyFill="1" applyAlignment="1">
      <alignment horizontal="center"/>
    </xf>
    <xf numFmtId="166" fontId="0" fillId="0" borderId="0" xfId="1" applyNumberFormat="1" applyFont="1" applyAlignment="1">
      <alignment horizontal="center" vertical="top" wrapText="1"/>
    </xf>
    <xf numFmtId="169" fontId="0" fillId="0" borderId="0" xfId="0" applyNumberFormat="1" applyAlignment="1">
      <alignment horizontal="center" vertical="center" textRotation="90"/>
    </xf>
    <xf numFmtId="3" fontId="0" fillId="0" borderId="0" xfId="0" applyNumberFormat="1" applyFont="1" applyAlignment="1">
      <alignment horizontal="center" vertical="center" textRotation="90"/>
    </xf>
    <xf numFmtId="3" fontId="0" fillId="0" borderId="0" xfId="0" applyNumberFormat="1" applyAlignment="1">
      <alignment horizontal="center" vertical="center" textRotation="90"/>
    </xf>
    <xf numFmtId="3" fontId="20" fillId="0" borderId="0" xfId="0" applyNumberFormat="1" applyFont="1" applyAlignment="1"/>
    <xf numFmtId="3" fontId="4" fillId="0" borderId="0" xfId="0" applyNumberFormat="1" applyFont="1" applyAlignment="1">
      <alignment horizont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78">
    <dxf>
      <font>
        <b/>
        <i val="0"/>
        <strike val="0"/>
        <color auto="1"/>
      </font>
      <fill>
        <patternFill patternType="darkGray">
          <fgColor theme="0"/>
          <bgColor rgb="FF00B050"/>
        </patternFill>
      </fill>
      <border>
        <left/>
        <right/>
        <top/>
        <bottom/>
      </border>
    </dxf>
    <dxf>
      <font>
        <b/>
        <i val="0"/>
      </font>
      <fill>
        <patternFill patternType="darkGray">
          <fgColor theme="0"/>
          <bgColor rgb="FFFF0000"/>
        </patternFill>
      </fill>
      <border>
        <left/>
        <right/>
        <top/>
        <bottom/>
      </border>
    </dxf>
    <dxf>
      <font>
        <b/>
        <i val="0"/>
        <strike val="0"/>
        <color auto="1"/>
      </font>
      <fill>
        <patternFill patternType="darkGray">
          <fgColor theme="0"/>
          <bgColor rgb="FF00B050"/>
        </patternFill>
      </fill>
      <border>
        <left/>
        <right/>
        <top/>
        <bottom/>
      </border>
    </dxf>
    <dxf>
      <font>
        <b/>
        <i val="0"/>
      </font>
      <fill>
        <patternFill patternType="darkGray">
          <fgColor theme="0"/>
          <bgColor rgb="FFFF0000"/>
        </patternFill>
      </fill>
      <border>
        <left/>
        <right/>
        <top/>
        <bottom/>
      </border>
    </dxf>
    <dxf>
      <font>
        <b/>
        <i val="0"/>
        <strike val="0"/>
        <color auto="1"/>
      </font>
      <fill>
        <patternFill patternType="darkGray">
          <fgColor theme="0"/>
          <bgColor rgb="FF00B050"/>
        </patternFill>
      </fill>
      <border>
        <left/>
        <right/>
        <top/>
        <bottom/>
      </border>
    </dxf>
    <dxf>
      <font>
        <b/>
        <i val="0"/>
      </font>
      <fill>
        <patternFill patternType="darkGray">
          <fgColor theme="0"/>
          <bgColor rgb="FFFF0000"/>
        </patternFill>
      </fill>
      <border>
        <left/>
        <right/>
        <top/>
        <bottom/>
      </border>
    </dxf>
    <dxf>
      <font>
        <b/>
        <i val="0"/>
        <strike val="0"/>
        <color auto="1"/>
      </font>
      <fill>
        <patternFill patternType="darkGray">
          <fgColor theme="0"/>
          <bgColor rgb="FF00B050"/>
        </patternFill>
      </fill>
      <border>
        <left/>
        <right/>
        <top/>
        <bottom/>
      </border>
    </dxf>
    <dxf>
      <font>
        <b/>
        <i val="0"/>
      </font>
      <fill>
        <patternFill patternType="darkGray">
          <fgColor theme="0"/>
          <bgColor rgb="FFFF0000"/>
        </patternFill>
      </fill>
      <border>
        <left/>
        <right/>
        <top/>
        <bottom/>
      </border>
    </dxf>
    <dxf>
      <font>
        <b/>
        <i val="0"/>
        <strike val="0"/>
        <color auto="1"/>
      </font>
      <fill>
        <patternFill patternType="darkGray">
          <fgColor theme="0"/>
          <bgColor rgb="FF00B050"/>
        </patternFill>
      </fill>
      <border>
        <left/>
        <right/>
        <top/>
        <bottom/>
      </border>
    </dxf>
    <dxf>
      <font>
        <b/>
        <i val="0"/>
      </font>
      <fill>
        <patternFill patternType="darkGray">
          <fgColor theme="0"/>
          <bgColor rgb="FFFF0000"/>
        </patternFill>
      </fill>
      <border>
        <left/>
        <right/>
        <top/>
        <bottom/>
      </border>
    </dxf>
    <dxf>
      <font>
        <b/>
        <i val="0"/>
        <strike val="0"/>
        <color auto="1"/>
      </font>
      <fill>
        <patternFill patternType="darkGray">
          <fgColor theme="0"/>
          <bgColor rgb="FF00B050"/>
        </patternFill>
      </fill>
      <border>
        <left/>
        <right/>
        <top/>
        <bottom/>
      </border>
    </dxf>
    <dxf>
      <font>
        <b/>
        <i val="0"/>
      </font>
      <fill>
        <patternFill patternType="darkGray">
          <fgColor theme="0"/>
          <bgColor rgb="FFFF0000"/>
        </patternFill>
      </fill>
      <border>
        <left/>
        <right/>
        <top/>
        <bottom/>
      </border>
    </dxf>
    <dxf>
      <font>
        <b/>
        <i val="0"/>
        <strike val="0"/>
        <color auto="1"/>
      </font>
      <fill>
        <patternFill patternType="darkGray">
          <fgColor theme="0"/>
          <bgColor rgb="FF00B050"/>
        </patternFill>
      </fill>
      <border>
        <left/>
        <right/>
        <top/>
        <bottom/>
      </border>
    </dxf>
    <dxf>
      <font>
        <b/>
        <i val="0"/>
      </font>
      <fill>
        <patternFill patternType="darkGray">
          <fgColor theme="0"/>
          <bgColor rgb="FFFF0000"/>
        </patternFill>
      </fill>
      <border>
        <left/>
        <right/>
        <top/>
        <bottom/>
      </border>
    </dxf>
    <dxf>
      <font>
        <b/>
        <i val="0"/>
        <strike val="0"/>
        <color auto="1"/>
      </font>
      <fill>
        <patternFill patternType="darkGray">
          <fgColor theme="0"/>
          <bgColor rgb="FF00B050"/>
        </patternFill>
      </fill>
      <border>
        <left/>
        <right/>
        <top/>
        <bottom/>
      </border>
    </dxf>
    <dxf>
      <font>
        <b/>
        <i val="0"/>
      </font>
      <fill>
        <patternFill patternType="darkGray">
          <fgColor theme="0"/>
          <bgColor rgb="FFFF0000"/>
        </patternFill>
      </fill>
      <border>
        <left/>
        <right/>
        <top/>
        <bottom/>
      </border>
    </dxf>
    <dxf>
      <font>
        <b/>
        <i val="0"/>
        <strike val="0"/>
        <color auto="1"/>
      </font>
      <fill>
        <patternFill patternType="darkGray">
          <fgColor theme="0"/>
          <bgColor rgb="FF00B050"/>
        </patternFill>
      </fill>
      <border>
        <left/>
        <right/>
        <top/>
        <bottom/>
      </border>
    </dxf>
    <dxf>
      <font>
        <b/>
        <i val="0"/>
      </font>
      <fill>
        <patternFill patternType="darkGray">
          <fgColor theme="0"/>
          <bgColor rgb="FFFF0000"/>
        </patternFill>
      </fill>
      <border>
        <left/>
        <right/>
        <top/>
        <bottom/>
      </border>
    </dxf>
    <dxf>
      <font>
        <b/>
        <i val="0"/>
        <strike val="0"/>
        <color auto="1"/>
      </font>
      <fill>
        <patternFill patternType="darkGray">
          <fgColor theme="0"/>
          <bgColor rgb="FF00B050"/>
        </patternFill>
      </fill>
      <border>
        <left/>
        <right/>
        <top/>
        <bottom/>
      </border>
    </dxf>
    <dxf>
      <font>
        <b/>
        <i val="0"/>
      </font>
      <fill>
        <patternFill patternType="darkGray">
          <fgColor theme="0"/>
          <bgColor rgb="FFFF0000"/>
        </patternFill>
      </fill>
      <border>
        <left/>
        <right/>
        <top/>
        <bottom/>
      </border>
    </dxf>
    <dxf>
      <font>
        <b/>
        <i val="0"/>
        <strike val="0"/>
        <color auto="1"/>
      </font>
      <fill>
        <patternFill patternType="darkGray">
          <fgColor theme="0"/>
          <bgColor rgb="FF00B050"/>
        </patternFill>
      </fill>
      <border>
        <left/>
        <right/>
        <top/>
        <bottom/>
      </border>
    </dxf>
    <dxf>
      <font>
        <b/>
        <i val="0"/>
      </font>
      <fill>
        <patternFill patternType="darkGray">
          <fgColor theme="0"/>
          <bgColor rgb="FFFF0000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 patternType="darkGray">
          <fgColor theme="0"/>
          <bgColor rgb="FF00B050"/>
        </patternFill>
      </fill>
      <border>
        <left/>
        <right/>
        <top/>
        <bottom/>
      </border>
    </dxf>
    <dxf>
      <font>
        <b/>
        <i val="0"/>
      </font>
      <fill>
        <patternFill patternType="darkGray">
          <fgColor theme="0"/>
          <bgColor rgb="FFFF0000"/>
        </patternFill>
      </fill>
      <border>
        <left/>
        <right/>
        <top/>
        <bottom/>
      </border>
    </dxf>
    <dxf>
      <font>
        <b/>
        <i val="0"/>
        <strike val="0"/>
        <color auto="1"/>
      </font>
      <fill>
        <patternFill patternType="darkGray">
          <fgColor theme="0"/>
          <bgColor rgb="FF00B050"/>
        </patternFill>
      </fill>
      <border>
        <left/>
        <right/>
        <top/>
        <bottom/>
      </border>
    </dxf>
    <dxf>
      <font>
        <b/>
        <i val="0"/>
      </font>
      <fill>
        <patternFill patternType="darkGray">
          <fgColor theme="0"/>
          <bgColor rgb="FFFF0000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 patternType="darkGray">
          <fgColor theme="0"/>
          <bgColor rgb="FF00B050"/>
        </patternFill>
      </fill>
      <border>
        <left/>
        <right/>
        <top/>
        <bottom/>
      </border>
    </dxf>
    <dxf>
      <font>
        <b/>
        <i val="0"/>
      </font>
      <fill>
        <patternFill patternType="darkGray">
          <fgColor theme="0"/>
          <bgColor rgb="FFFF0000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8BE1FF"/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255</xdr:row>
      <xdr:rowOff>0</xdr:rowOff>
    </xdr:from>
    <xdr:to>
      <xdr:col>27</xdr:col>
      <xdr:colOff>0</xdr:colOff>
      <xdr:row>305</xdr:row>
      <xdr:rowOff>0</xdr:rowOff>
    </xdr:to>
    <xdr:sp macro="" textlink="">
      <xdr:nvSpPr>
        <xdr:cNvPr id="2" name="OpenSolver1">
          <a:extLst>
            <a:ext uri="{FF2B5EF4-FFF2-40B4-BE49-F238E27FC236}">
              <a16:creationId xmlns:a16="http://schemas.microsoft.com/office/drawing/2014/main" id="{5C98577E-03F2-4F7B-8B94-EEDA1631CA51}"/>
            </a:ext>
          </a:extLst>
        </xdr:cNvPr>
        <xdr:cNvSpPr/>
      </xdr:nvSpPr>
      <xdr:spPr>
        <a:xfrm>
          <a:off x="2038350" y="46964600"/>
          <a:ext cx="17983200" cy="92075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en-GB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3</xdr:col>
      <xdr:colOff>0</xdr:colOff>
      <xdr:row>252</xdr:row>
      <xdr:rowOff>0</xdr:rowOff>
    </xdr:from>
    <xdr:to>
      <xdr:col>4</xdr:col>
      <xdr:colOff>0</xdr:colOff>
      <xdr:row>253</xdr:row>
      <xdr:rowOff>0</xdr:rowOff>
    </xdr:to>
    <xdr:sp macro="" textlink="">
      <xdr:nvSpPr>
        <xdr:cNvPr id="5" name="OpenSolver2">
          <a:extLst>
            <a:ext uri="{FF2B5EF4-FFF2-40B4-BE49-F238E27FC236}">
              <a16:creationId xmlns:a16="http://schemas.microsoft.com/office/drawing/2014/main" id="{2916A7D1-723B-42D3-A21C-021687C28007}"/>
            </a:ext>
          </a:extLst>
        </xdr:cNvPr>
        <xdr:cNvSpPr/>
      </xdr:nvSpPr>
      <xdr:spPr>
        <a:xfrm>
          <a:off x="2038350" y="46412150"/>
          <a:ext cx="749300" cy="18415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</xdr:col>
      <xdr:colOff>1651000</xdr:colOff>
      <xdr:row>251</xdr:row>
      <xdr:rowOff>114300</xdr:rowOff>
    </xdr:from>
    <xdr:to>
      <xdr:col>3</xdr:col>
      <xdr:colOff>224739</xdr:colOff>
      <xdr:row>252</xdr:row>
      <xdr:rowOff>57150</xdr:rowOff>
    </xdr:to>
    <xdr:sp macro="" textlink="">
      <xdr:nvSpPr>
        <xdr:cNvPr id="994" name="OpenSolver3">
          <a:extLst>
            <a:ext uri="{FF2B5EF4-FFF2-40B4-BE49-F238E27FC236}">
              <a16:creationId xmlns:a16="http://schemas.microsoft.com/office/drawing/2014/main" id="{FA6F3E10-FA8E-40DC-AEA4-5CC8E8B8753B}"/>
            </a:ext>
          </a:extLst>
        </xdr:cNvPr>
        <xdr:cNvSpPr/>
      </xdr:nvSpPr>
      <xdr:spPr>
        <a:xfrm>
          <a:off x="2032000" y="46342300"/>
          <a:ext cx="231089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GB" sz="900">
              <a:solidFill>
                <a:srgbClr val="000000"/>
              </a:solidFill>
            </a:rPr>
            <a:t>min </a:t>
          </a:r>
        </a:p>
      </xdr:txBody>
    </xdr:sp>
    <xdr:clientData/>
  </xdr:twoCellAnchor>
  <xdr:twoCellAnchor>
    <xdr:from>
      <xdr:col>3</xdr:col>
      <xdr:colOff>0</xdr:colOff>
      <xdr:row>108</xdr:row>
      <xdr:rowOff>0</xdr:rowOff>
    </xdr:from>
    <xdr:to>
      <xdr:col>27</xdr:col>
      <xdr:colOff>0</xdr:colOff>
      <xdr:row>109</xdr:row>
      <xdr:rowOff>0</xdr:rowOff>
    </xdr:to>
    <xdr:sp macro="" textlink="">
      <xdr:nvSpPr>
        <xdr:cNvPr id="995" name="OpenSolver4">
          <a:extLst>
            <a:ext uri="{FF2B5EF4-FFF2-40B4-BE49-F238E27FC236}">
              <a16:creationId xmlns:a16="http://schemas.microsoft.com/office/drawing/2014/main" id="{C2079D60-A78D-41B3-AAC1-6265AC0974FB}"/>
            </a:ext>
          </a:extLst>
        </xdr:cNvPr>
        <xdr:cNvSpPr/>
      </xdr:nvSpPr>
      <xdr:spPr>
        <a:xfrm>
          <a:off x="2038350" y="19894550"/>
          <a:ext cx="17983200" cy="1841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3</xdr:col>
      <xdr:colOff>0</xdr:colOff>
      <xdr:row>109</xdr:row>
      <xdr:rowOff>0</xdr:rowOff>
    </xdr:from>
    <xdr:to>
      <xdr:col>27</xdr:col>
      <xdr:colOff>0</xdr:colOff>
      <xdr:row>110</xdr:row>
      <xdr:rowOff>0</xdr:rowOff>
    </xdr:to>
    <xdr:sp macro="" textlink="">
      <xdr:nvSpPr>
        <xdr:cNvPr id="996" name="OpenSolver5">
          <a:extLst>
            <a:ext uri="{FF2B5EF4-FFF2-40B4-BE49-F238E27FC236}">
              <a16:creationId xmlns:a16="http://schemas.microsoft.com/office/drawing/2014/main" id="{95E589C3-0710-4702-ACAC-DEB1F00A27F8}"/>
            </a:ext>
          </a:extLst>
        </xdr:cNvPr>
        <xdr:cNvSpPr/>
      </xdr:nvSpPr>
      <xdr:spPr>
        <a:xfrm>
          <a:off x="2038350" y="20078700"/>
          <a:ext cx="17983200" cy="1841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00FF"/>
              </a:solidFill>
            </a:rPr>
            <a:t>≥</a:t>
          </a:r>
        </a:p>
      </xdr:txBody>
    </xdr:sp>
    <xdr:clientData/>
  </xdr:twoCellAnchor>
  <xdr:twoCellAnchor>
    <xdr:from>
      <xdr:col>15</xdr:col>
      <xdr:colOff>0</xdr:colOff>
      <xdr:row>109</xdr:row>
      <xdr:rowOff>0</xdr:rowOff>
    </xdr:from>
    <xdr:to>
      <xdr:col>15</xdr:col>
      <xdr:colOff>0</xdr:colOff>
      <xdr:row>109</xdr:row>
      <xdr:rowOff>0</xdr:rowOff>
    </xdr:to>
    <xdr:cxnSp macro="">
      <xdr:nvCxnSpPr>
        <xdr:cNvPr id="997" name="OpenSolver6">
          <a:extLst>
            <a:ext uri="{FF2B5EF4-FFF2-40B4-BE49-F238E27FC236}">
              <a16:creationId xmlns:a16="http://schemas.microsoft.com/office/drawing/2014/main" id="{64156407-7B60-49D3-9124-A301B2B27EC2}"/>
            </a:ext>
          </a:extLst>
        </xdr:cNvPr>
        <xdr:cNvCxnSpPr>
          <a:stCxn id="995" idx="2"/>
          <a:endCxn id="996" idx="0"/>
        </xdr:cNvCxnSpPr>
      </xdr:nvCxnSpPr>
      <xdr:spPr>
        <a:xfrm>
          <a:off x="11029950" y="20078700"/>
          <a:ext cx="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558800</xdr:colOff>
      <xdr:row>108</xdr:row>
      <xdr:rowOff>57150</xdr:rowOff>
    </xdr:from>
    <xdr:to>
      <xdr:col>15</xdr:col>
      <xdr:colOff>190500</xdr:colOff>
      <xdr:row>109</xdr:row>
      <xdr:rowOff>127000</xdr:rowOff>
    </xdr:to>
    <xdr:sp macro="" textlink="">
      <xdr:nvSpPr>
        <xdr:cNvPr id="998" name="OpenSolver7">
          <a:extLst>
            <a:ext uri="{FF2B5EF4-FFF2-40B4-BE49-F238E27FC236}">
              <a16:creationId xmlns:a16="http://schemas.microsoft.com/office/drawing/2014/main" id="{2C6D6B8C-0F6F-43F9-AEC5-06234488455F}"/>
            </a:ext>
          </a:extLst>
        </xdr:cNvPr>
        <xdr:cNvSpPr/>
      </xdr:nvSpPr>
      <xdr:spPr>
        <a:xfrm>
          <a:off x="10839450" y="199517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121</xdr:row>
      <xdr:rowOff>0</xdr:rowOff>
    </xdr:from>
    <xdr:to>
      <xdr:col>27</xdr:col>
      <xdr:colOff>0</xdr:colOff>
      <xdr:row>122</xdr:row>
      <xdr:rowOff>0</xdr:rowOff>
    </xdr:to>
    <xdr:sp macro="" textlink="">
      <xdr:nvSpPr>
        <xdr:cNvPr id="999" name="OpenSolver8">
          <a:extLst>
            <a:ext uri="{FF2B5EF4-FFF2-40B4-BE49-F238E27FC236}">
              <a16:creationId xmlns:a16="http://schemas.microsoft.com/office/drawing/2014/main" id="{356D7143-5B1C-43FD-AC7C-F7FA00760855}"/>
            </a:ext>
          </a:extLst>
        </xdr:cNvPr>
        <xdr:cNvSpPr/>
      </xdr:nvSpPr>
      <xdr:spPr>
        <a:xfrm>
          <a:off x="2038350" y="22288500"/>
          <a:ext cx="17983200" cy="1841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3</xdr:col>
      <xdr:colOff>0</xdr:colOff>
      <xdr:row>123</xdr:row>
      <xdr:rowOff>0</xdr:rowOff>
    </xdr:from>
    <xdr:to>
      <xdr:col>27</xdr:col>
      <xdr:colOff>0</xdr:colOff>
      <xdr:row>124</xdr:row>
      <xdr:rowOff>0</xdr:rowOff>
    </xdr:to>
    <xdr:sp macro="" textlink="">
      <xdr:nvSpPr>
        <xdr:cNvPr id="1000" name="OpenSolver9">
          <a:extLst>
            <a:ext uri="{FF2B5EF4-FFF2-40B4-BE49-F238E27FC236}">
              <a16:creationId xmlns:a16="http://schemas.microsoft.com/office/drawing/2014/main" id="{2D9751E4-D5ED-4076-B11A-381A7C871133}"/>
            </a:ext>
          </a:extLst>
        </xdr:cNvPr>
        <xdr:cNvSpPr/>
      </xdr:nvSpPr>
      <xdr:spPr>
        <a:xfrm>
          <a:off x="2038350" y="22656800"/>
          <a:ext cx="17983200" cy="1841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15</xdr:col>
      <xdr:colOff>0</xdr:colOff>
      <xdr:row>122</xdr:row>
      <xdr:rowOff>0</xdr:rowOff>
    </xdr:from>
    <xdr:to>
      <xdr:col>15</xdr:col>
      <xdr:colOff>0</xdr:colOff>
      <xdr:row>123</xdr:row>
      <xdr:rowOff>0</xdr:rowOff>
    </xdr:to>
    <xdr:cxnSp macro="">
      <xdr:nvCxnSpPr>
        <xdr:cNvPr id="1001" name="OpenSolver10">
          <a:extLst>
            <a:ext uri="{FF2B5EF4-FFF2-40B4-BE49-F238E27FC236}">
              <a16:creationId xmlns:a16="http://schemas.microsoft.com/office/drawing/2014/main" id="{C9333008-3F7E-4C7D-8678-A90166455732}"/>
            </a:ext>
          </a:extLst>
        </xdr:cNvPr>
        <xdr:cNvCxnSpPr>
          <a:stCxn id="999" idx="2"/>
          <a:endCxn id="1000" idx="0"/>
        </xdr:cNvCxnSpPr>
      </xdr:nvCxnSpPr>
      <xdr:spPr>
        <a:xfrm>
          <a:off x="11029950" y="22472650"/>
          <a:ext cx="0" cy="18415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558800</xdr:colOff>
      <xdr:row>121</xdr:row>
      <xdr:rowOff>149225</xdr:rowOff>
    </xdr:from>
    <xdr:to>
      <xdr:col>15</xdr:col>
      <xdr:colOff>190500</xdr:colOff>
      <xdr:row>123</xdr:row>
      <xdr:rowOff>34925</xdr:rowOff>
    </xdr:to>
    <xdr:sp macro="" textlink="">
      <xdr:nvSpPr>
        <xdr:cNvPr id="1002" name="OpenSolver11">
          <a:extLst>
            <a:ext uri="{FF2B5EF4-FFF2-40B4-BE49-F238E27FC236}">
              <a16:creationId xmlns:a16="http://schemas.microsoft.com/office/drawing/2014/main" id="{28096BA2-CE2D-4EA7-8375-B4B2EA966A8C}"/>
            </a:ext>
          </a:extLst>
        </xdr:cNvPr>
        <xdr:cNvSpPr/>
      </xdr:nvSpPr>
      <xdr:spPr>
        <a:xfrm>
          <a:off x="10839450" y="224377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12700</xdr:colOff>
      <xdr:row>108</xdr:row>
      <xdr:rowOff>12700</xdr:rowOff>
    </xdr:from>
    <xdr:to>
      <xdr:col>27</xdr:col>
      <xdr:colOff>0</xdr:colOff>
      <xdr:row>109</xdr:row>
      <xdr:rowOff>0</xdr:rowOff>
    </xdr:to>
    <xdr:sp macro="" textlink="">
      <xdr:nvSpPr>
        <xdr:cNvPr id="1003" name="OpenSolver12">
          <a:extLst>
            <a:ext uri="{FF2B5EF4-FFF2-40B4-BE49-F238E27FC236}">
              <a16:creationId xmlns:a16="http://schemas.microsoft.com/office/drawing/2014/main" id="{47391274-49BC-47A0-8AC4-CE9AC1B62B07}"/>
            </a:ext>
          </a:extLst>
        </xdr:cNvPr>
        <xdr:cNvSpPr/>
      </xdr:nvSpPr>
      <xdr:spPr>
        <a:xfrm>
          <a:off x="2051050" y="19907250"/>
          <a:ext cx="17970500" cy="17145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3</xdr:col>
      <xdr:colOff>0</xdr:colOff>
      <xdr:row>110</xdr:row>
      <xdr:rowOff>0</xdr:rowOff>
    </xdr:from>
    <xdr:to>
      <xdr:col>27</xdr:col>
      <xdr:colOff>0</xdr:colOff>
      <xdr:row>111</xdr:row>
      <xdr:rowOff>0</xdr:rowOff>
    </xdr:to>
    <xdr:sp macro="" textlink="">
      <xdr:nvSpPr>
        <xdr:cNvPr id="1004" name="OpenSolver13">
          <a:extLst>
            <a:ext uri="{FF2B5EF4-FFF2-40B4-BE49-F238E27FC236}">
              <a16:creationId xmlns:a16="http://schemas.microsoft.com/office/drawing/2014/main" id="{0C8CEED8-E421-4BBB-8B97-6B2ECF7B8EA3}"/>
            </a:ext>
          </a:extLst>
        </xdr:cNvPr>
        <xdr:cNvSpPr/>
      </xdr:nvSpPr>
      <xdr:spPr>
        <a:xfrm>
          <a:off x="2038350" y="20262850"/>
          <a:ext cx="17983200" cy="18415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9900CC"/>
              </a:solidFill>
            </a:rPr>
            <a:t>≤</a:t>
          </a:r>
        </a:p>
      </xdr:txBody>
    </xdr:sp>
    <xdr:clientData/>
  </xdr:twoCellAnchor>
  <xdr:twoCellAnchor>
    <xdr:from>
      <xdr:col>15</xdr:col>
      <xdr:colOff>0</xdr:colOff>
      <xdr:row>109</xdr:row>
      <xdr:rowOff>0</xdr:rowOff>
    </xdr:from>
    <xdr:to>
      <xdr:col>15</xdr:col>
      <xdr:colOff>6350</xdr:colOff>
      <xdr:row>110</xdr:row>
      <xdr:rowOff>0</xdr:rowOff>
    </xdr:to>
    <xdr:cxnSp macro="">
      <xdr:nvCxnSpPr>
        <xdr:cNvPr id="1005" name="OpenSolver14">
          <a:extLst>
            <a:ext uri="{FF2B5EF4-FFF2-40B4-BE49-F238E27FC236}">
              <a16:creationId xmlns:a16="http://schemas.microsoft.com/office/drawing/2014/main" id="{78641ACF-3AB5-4365-8796-0334DA640724}"/>
            </a:ext>
          </a:extLst>
        </xdr:cNvPr>
        <xdr:cNvCxnSpPr>
          <a:stCxn id="1003" idx="2"/>
          <a:endCxn id="1004" idx="0"/>
        </xdr:cNvCxnSpPr>
      </xdr:nvCxnSpPr>
      <xdr:spPr>
        <a:xfrm flipH="1">
          <a:off x="11029950" y="20078700"/>
          <a:ext cx="6350" cy="18415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561975</xdr:colOff>
      <xdr:row>108</xdr:row>
      <xdr:rowOff>149225</xdr:rowOff>
    </xdr:from>
    <xdr:to>
      <xdr:col>15</xdr:col>
      <xdr:colOff>193675</xdr:colOff>
      <xdr:row>110</xdr:row>
      <xdr:rowOff>34925</xdr:rowOff>
    </xdr:to>
    <xdr:sp macro="" textlink="">
      <xdr:nvSpPr>
        <xdr:cNvPr id="1006" name="OpenSolver15">
          <a:extLst>
            <a:ext uri="{FF2B5EF4-FFF2-40B4-BE49-F238E27FC236}">
              <a16:creationId xmlns:a16="http://schemas.microsoft.com/office/drawing/2014/main" id="{D909EA61-3E2A-4A3E-AB00-B82F2EEC7B4B}"/>
            </a:ext>
          </a:extLst>
        </xdr:cNvPr>
        <xdr:cNvSpPr/>
      </xdr:nvSpPr>
      <xdr:spPr>
        <a:xfrm>
          <a:off x="10842625" y="2004377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12700</xdr:colOff>
      <xdr:row>121</xdr:row>
      <xdr:rowOff>12700</xdr:rowOff>
    </xdr:from>
    <xdr:to>
      <xdr:col>27</xdr:col>
      <xdr:colOff>0</xdr:colOff>
      <xdr:row>122</xdr:row>
      <xdr:rowOff>0</xdr:rowOff>
    </xdr:to>
    <xdr:sp macro="" textlink="">
      <xdr:nvSpPr>
        <xdr:cNvPr id="1007" name="OpenSolver16">
          <a:extLst>
            <a:ext uri="{FF2B5EF4-FFF2-40B4-BE49-F238E27FC236}">
              <a16:creationId xmlns:a16="http://schemas.microsoft.com/office/drawing/2014/main" id="{3E1EC453-4F5D-40B7-A00B-6B36AE188928}"/>
            </a:ext>
          </a:extLst>
        </xdr:cNvPr>
        <xdr:cNvSpPr/>
      </xdr:nvSpPr>
      <xdr:spPr>
        <a:xfrm>
          <a:off x="2051050" y="22301200"/>
          <a:ext cx="17970500" cy="17145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3</xdr:col>
      <xdr:colOff>0</xdr:colOff>
      <xdr:row>122</xdr:row>
      <xdr:rowOff>0</xdr:rowOff>
    </xdr:from>
    <xdr:to>
      <xdr:col>27</xdr:col>
      <xdr:colOff>0</xdr:colOff>
      <xdr:row>123</xdr:row>
      <xdr:rowOff>0</xdr:rowOff>
    </xdr:to>
    <xdr:sp macro="" textlink="">
      <xdr:nvSpPr>
        <xdr:cNvPr id="1008" name="OpenSolver17">
          <a:extLst>
            <a:ext uri="{FF2B5EF4-FFF2-40B4-BE49-F238E27FC236}">
              <a16:creationId xmlns:a16="http://schemas.microsoft.com/office/drawing/2014/main" id="{50D71F4D-09D7-4730-9613-43BD8637E1DB}"/>
            </a:ext>
          </a:extLst>
        </xdr:cNvPr>
        <xdr:cNvSpPr/>
      </xdr:nvSpPr>
      <xdr:spPr>
        <a:xfrm>
          <a:off x="2038350" y="22472650"/>
          <a:ext cx="17983200" cy="18415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800000"/>
              </a:solidFill>
            </a:rPr>
            <a:t>≥</a:t>
          </a:r>
        </a:p>
      </xdr:txBody>
    </xdr:sp>
    <xdr:clientData/>
  </xdr:twoCellAnchor>
  <xdr:twoCellAnchor>
    <xdr:from>
      <xdr:col>15</xdr:col>
      <xdr:colOff>0</xdr:colOff>
      <xdr:row>122</xdr:row>
      <xdr:rowOff>0</xdr:rowOff>
    </xdr:from>
    <xdr:to>
      <xdr:col>15</xdr:col>
      <xdr:colOff>6350</xdr:colOff>
      <xdr:row>122</xdr:row>
      <xdr:rowOff>0</xdr:rowOff>
    </xdr:to>
    <xdr:cxnSp macro="">
      <xdr:nvCxnSpPr>
        <xdr:cNvPr id="1009" name="OpenSolver18">
          <a:extLst>
            <a:ext uri="{FF2B5EF4-FFF2-40B4-BE49-F238E27FC236}">
              <a16:creationId xmlns:a16="http://schemas.microsoft.com/office/drawing/2014/main" id="{90F31B30-7253-4DA1-A0A5-F8D3ED8D5407}"/>
            </a:ext>
          </a:extLst>
        </xdr:cNvPr>
        <xdr:cNvCxnSpPr>
          <a:stCxn id="1007" idx="2"/>
          <a:endCxn id="1008" idx="0"/>
        </xdr:cNvCxnSpPr>
      </xdr:nvCxnSpPr>
      <xdr:spPr>
        <a:xfrm flipH="1">
          <a:off x="11029950" y="22472650"/>
          <a:ext cx="6350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561975</xdr:colOff>
      <xdr:row>121</xdr:row>
      <xdr:rowOff>57150</xdr:rowOff>
    </xdr:from>
    <xdr:to>
      <xdr:col>15</xdr:col>
      <xdr:colOff>193675</xdr:colOff>
      <xdr:row>122</xdr:row>
      <xdr:rowOff>127000</xdr:rowOff>
    </xdr:to>
    <xdr:sp macro="" textlink="">
      <xdr:nvSpPr>
        <xdr:cNvPr id="1010" name="OpenSolver19">
          <a:extLst>
            <a:ext uri="{FF2B5EF4-FFF2-40B4-BE49-F238E27FC236}">
              <a16:creationId xmlns:a16="http://schemas.microsoft.com/office/drawing/2014/main" id="{9634F3C6-7B3D-473A-B2F0-A8B0773CDD1B}"/>
            </a:ext>
          </a:extLst>
        </xdr:cNvPr>
        <xdr:cNvSpPr/>
      </xdr:nvSpPr>
      <xdr:spPr>
        <a:xfrm>
          <a:off x="10842625" y="223456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101</xdr:row>
      <xdr:rowOff>0</xdr:rowOff>
    </xdr:from>
    <xdr:to>
      <xdr:col>27</xdr:col>
      <xdr:colOff>0</xdr:colOff>
      <xdr:row>102</xdr:row>
      <xdr:rowOff>0</xdr:rowOff>
    </xdr:to>
    <xdr:sp macro="" textlink="">
      <xdr:nvSpPr>
        <xdr:cNvPr id="1011" name="OpenSolver20">
          <a:extLst>
            <a:ext uri="{FF2B5EF4-FFF2-40B4-BE49-F238E27FC236}">
              <a16:creationId xmlns:a16="http://schemas.microsoft.com/office/drawing/2014/main" id="{EDF9EE2D-C7E4-4700-9431-9319F187A1B7}"/>
            </a:ext>
          </a:extLst>
        </xdr:cNvPr>
        <xdr:cNvSpPr/>
      </xdr:nvSpPr>
      <xdr:spPr>
        <a:xfrm>
          <a:off x="2038350" y="18605500"/>
          <a:ext cx="17983200" cy="18415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3</xdr:col>
      <xdr:colOff>0</xdr:colOff>
      <xdr:row>103</xdr:row>
      <xdr:rowOff>0</xdr:rowOff>
    </xdr:from>
    <xdr:to>
      <xdr:col>27</xdr:col>
      <xdr:colOff>0</xdr:colOff>
      <xdr:row>104</xdr:row>
      <xdr:rowOff>0</xdr:rowOff>
    </xdr:to>
    <xdr:sp macro="" textlink="">
      <xdr:nvSpPr>
        <xdr:cNvPr id="1012" name="OpenSolver21">
          <a:extLst>
            <a:ext uri="{FF2B5EF4-FFF2-40B4-BE49-F238E27FC236}">
              <a16:creationId xmlns:a16="http://schemas.microsoft.com/office/drawing/2014/main" id="{FABFE91F-2C2A-47E5-A38C-BA8562ADCEA4}"/>
            </a:ext>
          </a:extLst>
        </xdr:cNvPr>
        <xdr:cNvSpPr/>
      </xdr:nvSpPr>
      <xdr:spPr>
        <a:xfrm>
          <a:off x="2038350" y="18973800"/>
          <a:ext cx="17983200" cy="18415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CC33"/>
              </a:solidFill>
            </a:rPr>
            <a:t>≤</a:t>
          </a:r>
        </a:p>
      </xdr:txBody>
    </xdr:sp>
    <xdr:clientData/>
  </xdr:twoCellAnchor>
  <xdr:twoCellAnchor>
    <xdr:from>
      <xdr:col>15</xdr:col>
      <xdr:colOff>0</xdr:colOff>
      <xdr:row>102</xdr:row>
      <xdr:rowOff>0</xdr:rowOff>
    </xdr:from>
    <xdr:to>
      <xdr:col>15</xdr:col>
      <xdr:colOff>0</xdr:colOff>
      <xdr:row>103</xdr:row>
      <xdr:rowOff>0</xdr:rowOff>
    </xdr:to>
    <xdr:cxnSp macro="">
      <xdr:nvCxnSpPr>
        <xdr:cNvPr id="1013" name="OpenSolver22">
          <a:extLst>
            <a:ext uri="{FF2B5EF4-FFF2-40B4-BE49-F238E27FC236}">
              <a16:creationId xmlns:a16="http://schemas.microsoft.com/office/drawing/2014/main" id="{43F2423C-59A7-437E-8694-A3245F0AF880}"/>
            </a:ext>
          </a:extLst>
        </xdr:cNvPr>
        <xdr:cNvCxnSpPr>
          <a:stCxn id="1011" idx="2"/>
          <a:endCxn id="1012" idx="0"/>
        </xdr:cNvCxnSpPr>
      </xdr:nvCxnSpPr>
      <xdr:spPr>
        <a:xfrm>
          <a:off x="11029950" y="18789650"/>
          <a:ext cx="0" cy="18415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558800</xdr:colOff>
      <xdr:row>101</xdr:row>
      <xdr:rowOff>149225</xdr:rowOff>
    </xdr:from>
    <xdr:to>
      <xdr:col>15</xdr:col>
      <xdr:colOff>190500</xdr:colOff>
      <xdr:row>103</xdr:row>
      <xdr:rowOff>34925</xdr:rowOff>
    </xdr:to>
    <xdr:sp macro="" textlink="">
      <xdr:nvSpPr>
        <xdr:cNvPr id="1014" name="OpenSolver23">
          <a:extLst>
            <a:ext uri="{FF2B5EF4-FFF2-40B4-BE49-F238E27FC236}">
              <a16:creationId xmlns:a16="http://schemas.microsoft.com/office/drawing/2014/main" id="{D7DE374B-8F6F-4F96-9BC8-1D5F0CC7C377}"/>
            </a:ext>
          </a:extLst>
        </xdr:cNvPr>
        <xdr:cNvSpPr/>
      </xdr:nvSpPr>
      <xdr:spPr>
        <a:xfrm>
          <a:off x="10839450" y="187547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124</xdr:row>
      <xdr:rowOff>0</xdr:rowOff>
    </xdr:from>
    <xdr:to>
      <xdr:col>27</xdr:col>
      <xdr:colOff>0</xdr:colOff>
      <xdr:row>125</xdr:row>
      <xdr:rowOff>0</xdr:rowOff>
    </xdr:to>
    <xdr:sp macro="" textlink="">
      <xdr:nvSpPr>
        <xdr:cNvPr id="1015" name="OpenSolver24">
          <a:extLst>
            <a:ext uri="{FF2B5EF4-FFF2-40B4-BE49-F238E27FC236}">
              <a16:creationId xmlns:a16="http://schemas.microsoft.com/office/drawing/2014/main" id="{29091C4B-2F36-4F64-91CD-3756FBEFAB00}"/>
            </a:ext>
          </a:extLst>
        </xdr:cNvPr>
        <xdr:cNvSpPr/>
      </xdr:nvSpPr>
      <xdr:spPr>
        <a:xfrm>
          <a:off x="2038350" y="22840950"/>
          <a:ext cx="17983200" cy="18415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3</xdr:col>
      <xdr:colOff>0</xdr:colOff>
      <xdr:row>125</xdr:row>
      <xdr:rowOff>0</xdr:rowOff>
    </xdr:from>
    <xdr:to>
      <xdr:col>27</xdr:col>
      <xdr:colOff>0</xdr:colOff>
      <xdr:row>126</xdr:row>
      <xdr:rowOff>0</xdr:rowOff>
    </xdr:to>
    <xdr:sp macro="" textlink="">
      <xdr:nvSpPr>
        <xdr:cNvPr id="1016" name="OpenSolver25">
          <a:extLst>
            <a:ext uri="{FF2B5EF4-FFF2-40B4-BE49-F238E27FC236}">
              <a16:creationId xmlns:a16="http://schemas.microsoft.com/office/drawing/2014/main" id="{FC427640-D926-4182-BCE0-79A4E02DF8E0}"/>
            </a:ext>
          </a:extLst>
        </xdr:cNvPr>
        <xdr:cNvSpPr/>
      </xdr:nvSpPr>
      <xdr:spPr>
        <a:xfrm>
          <a:off x="2038350" y="23025100"/>
          <a:ext cx="17983200" cy="18415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FF6600"/>
              </a:solidFill>
            </a:rPr>
            <a:t>≥</a:t>
          </a:r>
        </a:p>
      </xdr:txBody>
    </xdr:sp>
    <xdr:clientData/>
  </xdr:twoCellAnchor>
  <xdr:twoCellAnchor>
    <xdr:from>
      <xdr:col>15</xdr:col>
      <xdr:colOff>0</xdr:colOff>
      <xdr:row>125</xdr:row>
      <xdr:rowOff>0</xdr:rowOff>
    </xdr:from>
    <xdr:to>
      <xdr:col>15</xdr:col>
      <xdr:colOff>0</xdr:colOff>
      <xdr:row>125</xdr:row>
      <xdr:rowOff>0</xdr:rowOff>
    </xdr:to>
    <xdr:cxnSp macro="">
      <xdr:nvCxnSpPr>
        <xdr:cNvPr id="1017" name="OpenSolver26">
          <a:extLst>
            <a:ext uri="{FF2B5EF4-FFF2-40B4-BE49-F238E27FC236}">
              <a16:creationId xmlns:a16="http://schemas.microsoft.com/office/drawing/2014/main" id="{8DE29903-3FBE-4582-9A32-DF754E7A19A4}"/>
            </a:ext>
          </a:extLst>
        </xdr:cNvPr>
        <xdr:cNvCxnSpPr>
          <a:stCxn id="1015" idx="2"/>
          <a:endCxn id="1016" idx="0"/>
        </xdr:cNvCxnSpPr>
      </xdr:nvCxnSpPr>
      <xdr:spPr>
        <a:xfrm>
          <a:off x="11029950" y="23025100"/>
          <a:ext cx="0" cy="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558800</xdr:colOff>
      <xdr:row>124</xdr:row>
      <xdr:rowOff>57150</xdr:rowOff>
    </xdr:from>
    <xdr:to>
      <xdr:col>15</xdr:col>
      <xdr:colOff>190500</xdr:colOff>
      <xdr:row>125</xdr:row>
      <xdr:rowOff>127000</xdr:rowOff>
    </xdr:to>
    <xdr:sp macro="" textlink="">
      <xdr:nvSpPr>
        <xdr:cNvPr id="1018" name="OpenSolver27">
          <a:extLst>
            <a:ext uri="{FF2B5EF4-FFF2-40B4-BE49-F238E27FC236}">
              <a16:creationId xmlns:a16="http://schemas.microsoft.com/office/drawing/2014/main" id="{5029D875-69C3-46F1-95EB-F4AEC465C6E4}"/>
            </a:ext>
          </a:extLst>
        </xdr:cNvPr>
        <xdr:cNvSpPr/>
      </xdr:nvSpPr>
      <xdr:spPr>
        <a:xfrm>
          <a:off x="10839450" y="228981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129</xdr:row>
      <xdr:rowOff>0</xdr:rowOff>
    </xdr:from>
    <xdr:to>
      <xdr:col>27</xdr:col>
      <xdr:colOff>0</xdr:colOff>
      <xdr:row>130</xdr:row>
      <xdr:rowOff>0</xdr:rowOff>
    </xdr:to>
    <xdr:sp macro="" textlink="">
      <xdr:nvSpPr>
        <xdr:cNvPr id="1019" name="OpenSolver28">
          <a:extLst>
            <a:ext uri="{FF2B5EF4-FFF2-40B4-BE49-F238E27FC236}">
              <a16:creationId xmlns:a16="http://schemas.microsoft.com/office/drawing/2014/main" id="{045A5533-7063-4D44-BC17-7CA009C51760}"/>
            </a:ext>
          </a:extLst>
        </xdr:cNvPr>
        <xdr:cNvSpPr/>
      </xdr:nvSpPr>
      <xdr:spPr>
        <a:xfrm>
          <a:off x="2038350" y="23761700"/>
          <a:ext cx="17983200" cy="18415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3</xdr:col>
      <xdr:colOff>0</xdr:colOff>
      <xdr:row>130</xdr:row>
      <xdr:rowOff>0</xdr:rowOff>
    </xdr:from>
    <xdr:to>
      <xdr:col>27</xdr:col>
      <xdr:colOff>0</xdr:colOff>
      <xdr:row>131</xdr:row>
      <xdr:rowOff>0</xdr:rowOff>
    </xdr:to>
    <xdr:sp macro="" textlink="">
      <xdr:nvSpPr>
        <xdr:cNvPr id="1020" name="OpenSolver29">
          <a:extLst>
            <a:ext uri="{FF2B5EF4-FFF2-40B4-BE49-F238E27FC236}">
              <a16:creationId xmlns:a16="http://schemas.microsoft.com/office/drawing/2014/main" id="{9F079C1A-60D8-46F3-8782-A69CEB7BECCC}"/>
            </a:ext>
          </a:extLst>
        </xdr:cNvPr>
        <xdr:cNvSpPr/>
      </xdr:nvSpPr>
      <xdr:spPr>
        <a:xfrm>
          <a:off x="2038350" y="23945850"/>
          <a:ext cx="17983200" cy="18415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CC0099"/>
              </a:solidFill>
            </a:rPr>
            <a:t>≥</a:t>
          </a:r>
        </a:p>
      </xdr:txBody>
    </xdr:sp>
    <xdr:clientData/>
  </xdr:twoCellAnchor>
  <xdr:twoCellAnchor>
    <xdr:from>
      <xdr:col>15</xdr:col>
      <xdr:colOff>0</xdr:colOff>
      <xdr:row>130</xdr:row>
      <xdr:rowOff>0</xdr:rowOff>
    </xdr:from>
    <xdr:to>
      <xdr:col>15</xdr:col>
      <xdr:colOff>0</xdr:colOff>
      <xdr:row>130</xdr:row>
      <xdr:rowOff>0</xdr:rowOff>
    </xdr:to>
    <xdr:cxnSp macro="">
      <xdr:nvCxnSpPr>
        <xdr:cNvPr id="1021" name="OpenSolver30">
          <a:extLst>
            <a:ext uri="{FF2B5EF4-FFF2-40B4-BE49-F238E27FC236}">
              <a16:creationId xmlns:a16="http://schemas.microsoft.com/office/drawing/2014/main" id="{72F245DA-FA6C-4802-8845-8D5040EF8662}"/>
            </a:ext>
          </a:extLst>
        </xdr:cNvPr>
        <xdr:cNvCxnSpPr>
          <a:stCxn id="1019" idx="2"/>
          <a:endCxn id="1020" idx="0"/>
        </xdr:cNvCxnSpPr>
      </xdr:nvCxnSpPr>
      <xdr:spPr>
        <a:xfrm>
          <a:off x="11029950" y="23945850"/>
          <a:ext cx="0" cy="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558800</xdr:colOff>
      <xdr:row>129</xdr:row>
      <xdr:rowOff>57150</xdr:rowOff>
    </xdr:from>
    <xdr:to>
      <xdr:col>15</xdr:col>
      <xdr:colOff>190500</xdr:colOff>
      <xdr:row>130</xdr:row>
      <xdr:rowOff>127000</xdr:rowOff>
    </xdr:to>
    <xdr:sp macro="" textlink="">
      <xdr:nvSpPr>
        <xdr:cNvPr id="1022" name="OpenSolver31">
          <a:extLst>
            <a:ext uri="{FF2B5EF4-FFF2-40B4-BE49-F238E27FC236}">
              <a16:creationId xmlns:a16="http://schemas.microsoft.com/office/drawing/2014/main" id="{71BA8CC3-8662-452F-B4D7-2152E26BB625}"/>
            </a:ext>
          </a:extLst>
        </xdr:cNvPr>
        <xdr:cNvSpPr/>
      </xdr:nvSpPr>
      <xdr:spPr>
        <a:xfrm>
          <a:off x="10839450" y="238188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12700</xdr:colOff>
      <xdr:row>129</xdr:row>
      <xdr:rowOff>12700</xdr:rowOff>
    </xdr:from>
    <xdr:to>
      <xdr:col>27</xdr:col>
      <xdr:colOff>0</xdr:colOff>
      <xdr:row>130</xdr:row>
      <xdr:rowOff>0</xdr:rowOff>
    </xdr:to>
    <xdr:sp macro="" textlink="">
      <xdr:nvSpPr>
        <xdr:cNvPr id="1023" name="OpenSolver32">
          <a:extLst>
            <a:ext uri="{FF2B5EF4-FFF2-40B4-BE49-F238E27FC236}">
              <a16:creationId xmlns:a16="http://schemas.microsoft.com/office/drawing/2014/main" id="{D0AAD6D3-795A-4568-8B42-888915FA8083}"/>
            </a:ext>
          </a:extLst>
        </xdr:cNvPr>
        <xdr:cNvSpPr/>
      </xdr:nvSpPr>
      <xdr:spPr>
        <a:xfrm>
          <a:off x="2051050" y="23774400"/>
          <a:ext cx="17970500" cy="1714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3</xdr:col>
      <xdr:colOff>0</xdr:colOff>
      <xdr:row>131</xdr:row>
      <xdr:rowOff>0</xdr:rowOff>
    </xdr:from>
    <xdr:to>
      <xdr:col>27</xdr:col>
      <xdr:colOff>0</xdr:colOff>
      <xdr:row>132</xdr:row>
      <xdr:rowOff>0</xdr:rowOff>
    </xdr:to>
    <xdr:sp macro="" textlink="">
      <xdr:nvSpPr>
        <xdr:cNvPr id="637" name="OpenSolver33">
          <a:extLst>
            <a:ext uri="{FF2B5EF4-FFF2-40B4-BE49-F238E27FC236}">
              <a16:creationId xmlns:a16="http://schemas.microsoft.com/office/drawing/2014/main" id="{2E2466E4-2F2B-418A-9C0F-76A2DB3C3C84}"/>
            </a:ext>
          </a:extLst>
        </xdr:cNvPr>
        <xdr:cNvSpPr/>
      </xdr:nvSpPr>
      <xdr:spPr>
        <a:xfrm>
          <a:off x="2038350" y="24130000"/>
          <a:ext cx="17983200" cy="1841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15</xdr:col>
      <xdr:colOff>0</xdr:colOff>
      <xdr:row>130</xdr:row>
      <xdr:rowOff>0</xdr:rowOff>
    </xdr:from>
    <xdr:to>
      <xdr:col>15</xdr:col>
      <xdr:colOff>6350</xdr:colOff>
      <xdr:row>131</xdr:row>
      <xdr:rowOff>0</xdr:rowOff>
    </xdr:to>
    <xdr:cxnSp macro="">
      <xdr:nvCxnSpPr>
        <xdr:cNvPr id="1024" name="OpenSolver34">
          <a:extLst>
            <a:ext uri="{FF2B5EF4-FFF2-40B4-BE49-F238E27FC236}">
              <a16:creationId xmlns:a16="http://schemas.microsoft.com/office/drawing/2014/main" id="{6756BB7D-A2F6-47CC-A686-AC36AC5C18ED}"/>
            </a:ext>
          </a:extLst>
        </xdr:cNvPr>
        <xdr:cNvCxnSpPr>
          <a:stCxn id="1023" idx="2"/>
          <a:endCxn id="637" idx="0"/>
        </xdr:cNvCxnSpPr>
      </xdr:nvCxnSpPr>
      <xdr:spPr>
        <a:xfrm flipH="1">
          <a:off x="11029950" y="23945850"/>
          <a:ext cx="6350" cy="18415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561975</xdr:colOff>
      <xdr:row>129</xdr:row>
      <xdr:rowOff>149225</xdr:rowOff>
    </xdr:from>
    <xdr:to>
      <xdr:col>15</xdr:col>
      <xdr:colOff>193675</xdr:colOff>
      <xdr:row>131</xdr:row>
      <xdr:rowOff>34925</xdr:rowOff>
    </xdr:to>
    <xdr:sp macro="" textlink="">
      <xdr:nvSpPr>
        <xdr:cNvPr id="1025" name="OpenSolver35">
          <a:extLst>
            <a:ext uri="{FF2B5EF4-FFF2-40B4-BE49-F238E27FC236}">
              <a16:creationId xmlns:a16="http://schemas.microsoft.com/office/drawing/2014/main" id="{355BD6BC-B2E7-4D39-8DD3-F77AB5A8C9B5}"/>
            </a:ext>
          </a:extLst>
        </xdr:cNvPr>
        <xdr:cNvSpPr/>
      </xdr:nvSpPr>
      <xdr:spPr>
        <a:xfrm>
          <a:off x="10842625" y="239109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148</xdr:row>
      <xdr:rowOff>0</xdr:rowOff>
    </xdr:from>
    <xdr:to>
      <xdr:col>27</xdr:col>
      <xdr:colOff>0</xdr:colOff>
      <xdr:row>149</xdr:row>
      <xdr:rowOff>0</xdr:rowOff>
    </xdr:to>
    <xdr:sp macro="" textlink="">
      <xdr:nvSpPr>
        <xdr:cNvPr id="1026" name="OpenSolver36">
          <a:extLst>
            <a:ext uri="{FF2B5EF4-FFF2-40B4-BE49-F238E27FC236}">
              <a16:creationId xmlns:a16="http://schemas.microsoft.com/office/drawing/2014/main" id="{B5679B6C-BEAB-463E-AAD3-27E2FEE9235F}"/>
            </a:ext>
          </a:extLst>
        </xdr:cNvPr>
        <xdr:cNvSpPr/>
      </xdr:nvSpPr>
      <xdr:spPr>
        <a:xfrm>
          <a:off x="2038350" y="27260550"/>
          <a:ext cx="17983200" cy="1841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3</xdr:col>
      <xdr:colOff>0</xdr:colOff>
      <xdr:row>150</xdr:row>
      <xdr:rowOff>0</xdr:rowOff>
    </xdr:from>
    <xdr:to>
      <xdr:col>27</xdr:col>
      <xdr:colOff>0</xdr:colOff>
      <xdr:row>151</xdr:row>
      <xdr:rowOff>0</xdr:rowOff>
    </xdr:to>
    <xdr:sp macro="" textlink="">
      <xdr:nvSpPr>
        <xdr:cNvPr id="1027" name="OpenSolver37">
          <a:extLst>
            <a:ext uri="{FF2B5EF4-FFF2-40B4-BE49-F238E27FC236}">
              <a16:creationId xmlns:a16="http://schemas.microsoft.com/office/drawing/2014/main" id="{EBA2F3E2-E28A-4D87-82A4-10B921464CFC}"/>
            </a:ext>
          </a:extLst>
        </xdr:cNvPr>
        <xdr:cNvSpPr/>
      </xdr:nvSpPr>
      <xdr:spPr>
        <a:xfrm>
          <a:off x="2038350" y="27628850"/>
          <a:ext cx="17983200" cy="1841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15</xdr:col>
      <xdr:colOff>0</xdr:colOff>
      <xdr:row>149</xdr:row>
      <xdr:rowOff>0</xdr:rowOff>
    </xdr:from>
    <xdr:to>
      <xdr:col>15</xdr:col>
      <xdr:colOff>0</xdr:colOff>
      <xdr:row>150</xdr:row>
      <xdr:rowOff>0</xdr:rowOff>
    </xdr:to>
    <xdr:cxnSp macro="">
      <xdr:nvCxnSpPr>
        <xdr:cNvPr id="1028" name="OpenSolver38">
          <a:extLst>
            <a:ext uri="{FF2B5EF4-FFF2-40B4-BE49-F238E27FC236}">
              <a16:creationId xmlns:a16="http://schemas.microsoft.com/office/drawing/2014/main" id="{980EEEF3-8977-4670-8B68-BAD6C4121956}"/>
            </a:ext>
          </a:extLst>
        </xdr:cNvPr>
        <xdr:cNvCxnSpPr>
          <a:stCxn id="1026" idx="2"/>
          <a:endCxn id="1027" idx="0"/>
        </xdr:cNvCxnSpPr>
      </xdr:nvCxnSpPr>
      <xdr:spPr>
        <a:xfrm>
          <a:off x="11029950" y="27444700"/>
          <a:ext cx="0" cy="18415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558800</xdr:colOff>
      <xdr:row>148</xdr:row>
      <xdr:rowOff>149225</xdr:rowOff>
    </xdr:from>
    <xdr:to>
      <xdr:col>15</xdr:col>
      <xdr:colOff>190500</xdr:colOff>
      <xdr:row>150</xdr:row>
      <xdr:rowOff>34925</xdr:rowOff>
    </xdr:to>
    <xdr:sp macro="" textlink="">
      <xdr:nvSpPr>
        <xdr:cNvPr id="1029" name="OpenSolver39">
          <a:extLst>
            <a:ext uri="{FF2B5EF4-FFF2-40B4-BE49-F238E27FC236}">
              <a16:creationId xmlns:a16="http://schemas.microsoft.com/office/drawing/2014/main" id="{0F98D6C4-0AF1-421E-BEC6-3DA0D5370E4E}"/>
            </a:ext>
          </a:extLst>
        </xdr:cNvPr>
        <xdr:cNvSpPr/>
      </xdr:nvSpPr>
      <xdr:spPr>
        <a:xfrm>
          <a:off x="10839450" y="2740977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135</xdr:row>
      <xdr:rowOff>0</xdr:rowOff>
    </xdr:from>
    <xdr:to>
      <xdr:col>27</xdr:col>
      <xdr:colOff>0</xdr:colOff>
      <xdr:row>136</xdr:row>
      <xdr:rowOff>0</xdr:rowOff>
    </xdr:to>
    <xdr:sp macro="" textlink="">
      <xdr:nvSpPr>
        <xdr:cNvPr id="1030" name="OpenSolver40">
          <a:extLst>
            <a:ext uri="{FF2B5EF4-FFF2-40B4-BE49-F238E27FC236}">
              <a16:creationId xmlns:a16="http://schemas.microsoft.com/office/drawing/2014/main" id="{97017A40-29AF-4246-8278-E3561F6C6527}"/>
            </a:ext>
          </a:extLst>
        </xdr:cNvPr>
        <xdr:cNvSpPr/>
      </xdr:nvSpPr>
      <xdr:spPr>
        <a:xfrm>
          <a:off x="2038350" y="24866600"/>
          <a:ext cx="17983200" cy="18415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3</xdr:col>
      <xdr:colOff>0</xdr:colOff>
      <xdr:row>278</xdr:row>
      <xdr:rowOff>0</xdr:rowOff>
    </xdr:from>
    <xdr:to>
      <xdr:col>27</xdr:col>
      <xdr:colOff>0</xdr:colOff>
      <xdr:row>279</xdr:row>
      <xdr:rowOff>0</xdr:rowOff>
    </xdr:to>
    <xdr:sp macro="" textlink="">
      <xdr:nvSpPr>
        <xdr:cNvPr id="1031" name="OpenSolver41">
          <a:extLst>
            <a:ext uri="{FF2B5EF4-FFF2-40B4-BE49-F238E27FC236}">
              <a16:creationId xmlns:a16="http://schemas.microsoft.com/office/drawing/2014/main" id="{C945AC78-F151-4D4A-9B1B-BD35821C81DB}"/>
            </a:ext>
          </a:extLst>
        </xdr:cNvPr>
        <xdr:cNvSpPr/>
      </xdr:nvSpPr>
      <xdr:spPr>
        <a:xfrm>
          <a:off x="2038350" y="51200050"/>
          <a:ext cx="17983200" cy="18415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9900CC"/>
              </a:solidFill>
            </a:rPr>
            <a:t>≤</a:t>
          </a:r>
        </a:p>
      </xdr:txBody>
    </xdr:sp>
    <xdr:clientData/>
  </xdr:twoCellAnchor>
  <xdr:twoCellAnchor>
    <xdr:from>
      <xdr:col>15</xdr:col>
      <xdr:colOff>0</xdr:colOff>
      <xdr:row>136</xdr:row>
      <xdr:rowOff>0</xdr:rowOff>
    </xdr:from>
    <xdr:to>
      <xdr:col>15</xdr:col>
      <xdr:colOff>0</xdr:colOff>
      <xdr:row>278</xdr:row>
      <xdr:rowOff>0</xdr:rowOff>
    </xdr:to>
    <xdr:cxnSp macro="">
      <xdr:nvCxnSpPr>
        <xdr:cNvPr id="1032" name="OpenSolver42">
          <a:extLst>
            <a:ext uri="{FF2B5EF4-FFF2-40B4-BE49-F238E27FC236}">
              <a16:creationId xmlns:a16="http://schemas.microsoft.com/office/drawing/2014/main" id="{7A72B3FE-03D1-4C66-9DB5-E840118194A7}"/>
            </a:ext>
          </a:extLst>
        </xdr:cNvPr>
        <xdr:cNvCxnSpPr>
          <a:stCxn id="1030" idx="2"/>
          <a:endCxn id="1031" idx="0"/>
        </xdr:cNvCxnSpPr>
      </xdr:nvCxnSpPr>
      <xdr:spPr>
        <a:xfrm>
          <a:off x="11029950" y="25050750"/>
          <a:ext cx="0" cy="2614930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558800</xdr:colOff>
      <xdr:row>206</xdr:row>
      <xdr:rowOff>57150</xdr:rowOff>
    </xdr:from>
    <xdr:to>
      <xdr:col>15</xdr:col>
      <xdr:colOff>190500</xdr:colOff>
      <xdr:row>207</xdr:row>
      <xdr:rowOff>127000</xdr:rowOff>
    </xdr:to>
    <xdr:sp macro="" textlink="">
      <xdr:nvSpPr>
        <xdr:cNvPr id="1033" name="OpenSolver43">
          <a:extLst>
            <a:ext uri="{FF2B5EF4-FFF2-40B4-BE49-F238E27FC236}">
              <a16:creationId xmlns:a16="http://schemas.microsoft.com/office/drawing/2014/main" id="{9693CF7A-EE4D-479C-8A93-864CB738D1B5}"/>
            </a:ext>
          </a:extLst>
        </xdr:cNvPr>
        <xdr:cNvSpPr/>
      </xdr:nvSpPr>
      <xdr:spPr>
        <a:xfrm>
          <a:off x="10839450" y="379984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156</xdr:row>
      <xdr:rowOff>0</xdr:rowOff>
    </xdr:from>
    <xdr:to>
      <xdr:col>27</xdr:col>
      <xdr:colOff>0</xdr:colOff>
      <xdr:row>157</xdr:row>
      <xdr:rowOff>0</xdr:rowOff>
    </xdr:to>
    <xdr:sp macro="" textlink="">
      <xdr:nvSpPr>
        <xdr:cNvPr id="1034" name="OpenSolverD157:AA157">
          <a:extLst>
            <a:ext uri="{FF2B5EF4-FFF2-40B4-BE49-F238E27FC236}">
              <a16:creationId xmlns:a16="http://schemas.microsoft.com/office/drawing/2014/main" id="{7D6F7D21-0F5C-4BA1-BF1D-F056E42E4C7A}"/>
            </a:ext>
          </a:extLst>
        </xdr:cNvPr>
        <xdr:cNvSpPr/>
      </xdr:nvSpPr>
      <xdr:spPr>
        <a:xfrm>
          <a:off x="2038350" y="28733750"/>
          <a:ext cx="17983200" cy="18415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800000"/>
              </a:solidFill>
            </a:rPr>
            <a:t>28406≥</a:t>
          </a:r>
        </a:p>
      </xdr:txBody>
    </xdr:sp>
    <xdr:clientData/>
  </xdr:twoCellAnchor>
  <xdr:twoCellAnchor>
    <xdr:from>
      <xdr:col>3</xdr:col>
      <xdr:colOff>0</xdr:colOff>
      <xdr:row>14</xdr:row>
      <xdr:rowOff>0</xdr:rowOff>
    </xdr:from>
    <xdr:to>
      <xdr:col>27</xdr:col>
      <xdr:colOff>0</xdr:colOff>
      <xdr:row>15</xdr:row>
      <xdr:rowOff>0</xdr:rowOff>
    </xdr:to>
    <xdr:sp macro="" textlink="">
      <xdr:nvSpPr>
        <xdr:cNvPr id="1035" name="OpenSolver45">
          <a:extLst>
            <a:ext uri="{FF2B5EF4-FFF2-40B4-BE49-F238E27FC236}">
              <a16:creationId xmlns:a16="http://schemas.microsoft.com/office/drawing/2014/main" id="{674819B9-6172-44A6-A6D7-226B9E9E08A1}"/>
            </a:ext>
          </a:extLst>
        </xdr:cNvPr>
        <xdr:cNvSpPr/>
      </xdr:nvSpPr>
      <xdr:spPr>
        <a:xfrm>
          <a:off x="2038350" y="2584450"/>
          <a:ext cx="17983200" cy="18415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3</xdr:col>
      <xdr:colOff>0</xdr:colOff>
      <xdr:row>16</xdr:row>
      <xdr:rowOff>0</xdr:rowOff>
    </xdr:from>
    <xdr:to>
      <xdr:col>27</xdr:col>
      <xdr:colOff>0</xdr:colOff>
      <xdr:row>17</xdr:row>
      <xdr:rowOff>0</xdr:rowOff>
    </xdr:to>
    <xdr:sp macro="" textlink="">
      <xdr:nvSpPr>
        <xdr:cNvPr id="1036" name="OpenSolver46">
          <a:extLst>
            <a:ext uri="{FF2B5EF4-FFF2-40B4-BE49-F238E27FC236}">
              <a16:creationId xmlns:a16="http://schemas.microsoft.com/office/drawing/2014/main" id="{98F2144B-DE47-4258-A096-6D40EA0648AA}"/>
            </a:ext>
          </a:extLst>
        </xdr:cNvPr>
        <xdr:cNvSpPr/>
      </xdr:nvSpPr>
      <xdr:spPr>
        <a:xfrm>
          <a:off x="2038350" y="2952750"/>
          <a:ext cx="17983200" cy="18415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CC33"/>
              </a:solidFill>
            </a:rPr>
            <a:t>≤</a:t>
          </a:r>
        </a:p>
      </xdr:txBody>
    </xdr:sp>
    <xdr:clientData/>
  </xdr:twoCellAnchor>
  <xdr:twoCellAnchor>
    <xdr:from>
      <xdr:col>15</xdr:col>
      <xdr:colOff>0</xdr:colOff>
      <xdr:row>15</xdr:row>
      <xdr:rowOff>0</xdr:rowOff>
    </xdr:from>
    <xdr:to>
      <xdr:col>15</xdr:col>
      <xdr:colOff>0</xdr:colOff>
      <xdr:row>16</xdr:row>
      <xdr:rowOff>0</xdr:rowOff>
    </xdr:to>
    <xdr:cxnSp macro="">
      <xdr:nvCxnSpPr>
        <xdr:cNvPr id="1037" name="OpenSolver47">
          <a:extLst>
            <a:ext uri="{FF2B5EF4-FFF2-40B4-BE49-F238E27FC236}">
              <a16:creationId xmlns:a16="http://schemas.microsoft.com/office/drawing/2014/main" id="{955C1A07-A92A-4380-ACA2-6741F2C4AC46}"/>
            </a:ext>
          </a:extLst>
        </xdr:cNvPr>
        <xdr:cNvCxnSpPr>
          <a:stCxn id="1035" idx="2"/>
          <a:endCxn id="1036" idx="0"/>
        </xdr:cNvCxnSpPr>
      </xdr:nvCxnSpPr>
      <xdr:spPr>
        <a:xfrm>
          <a:off x="11029950" y="2768600"/>
          <a:ext cx="0" cy="18415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558800</xdr:colOff>
      <xdr:row>14</xdr:row>
      <xdr:rowOff>149225</xdr:rowOff>
    </xdr:from>
    <xdr:to>
      <xdr:col>15</xdr:col>
      <xdr:colOff>190500</xdr:colOff>
      <xdr:row>16</xdr:row>
      <xdr:rowOff>34925</xdr:rowOff>
    </xdr:to>
    <xdr:sp macro="" textlink="">
      <xdr:nvSpPr>
        <xdr:cNvPr id="1038" name="OpenSolver48">
          <a:extLst>
            <a:ext uri="{FF2B5EF4-FFF2-40B4-BE49-F238E27FC236}">
              <a16:creationId xmlns:a16="http://schemas.microsoft.com/office/drawing/2014/main" id="{4BEEA622-54B3-4B09-B95B-B8910D369C5F}"/>
            </a:ext>
          </a:extLst>
        </xdr:cNvPr>
        <xdr:cNvSpPr/>
      </xdr:nvSpPr>
      <xdr:spPr>
        <a:xfrm>
          <a:off x="10839450" y="273367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152</xdr:row>
      <xdr:rowOff>0</xdr:rowOff>
    </xdr:from>
    <xdr:to>
      <xdr:col>27</xdr:col>
      <xdr:colOff>0</xdr:colOff>
      <xdr:row>153</xdr:row>
      <xdr:rowOff>0</xdr:rowOff>
    </xdr:to>
    <xdr:sp macro="" textlink="">
      <xdr:nvSpPr>
        <xdr:cNvPr id="1039" name="OpenSolver49">
          <a:extLst>
            <a:ext uri="{FF2B5EF4-FFF2-40B4-BE49-F238E27FC236}">
              <a16:creationId xmlns:a16="http://schemas.microsoft.com/office/drawing/2014/main" id="{F5AAC76A-A19D-4FD2-B420-D618D1A8ED46}"/>
            </a:ext>
          </a:extLst>
        </xdr:cNvPr>
        <xdr:cNvSpPr/>
      </xdr:nvSpPr>
      <xdr:spPr>
        <a:xfrm>
          <a:off x="2038350" y="27997150"/>
          <a:ext cx="17983200" cy="18415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3</xdr:col>
      <xdr:colOff>0</xdr:colOff>
      <xdr:row>282</xdr:row>
      <xdr:rowOff>0</xdr:rowOff>
    </xdr:from>
    <xdr:to>
      <xdr:col>27</xdr:col>
      <xdr:colOff>0</xdr:colOff>
      <xdr:row>283</xdr:row>
      <xdr:rowOff>0</xdr:rowOff>
    </xdr:to>
    <xdr:sp macro="" textlink="">
      <xdr:nvSpPr>
        <xdr:cNvPr id="1040" name="OpenSolver50">
          <a:extLst>
            <a:ext uri="{FF2B5EF4-FFF2-40B4-BE49-F238E27FC236}">
              <a16:creationId xmlns:a16="http://schemas.microsoft.com/office/drawing/2014/main" id="{AAD90DAA-87B9-4C42-96A6-D4150031C1BF}"/>
            </a:ext>
          </a:extLst>
        </xdr:cNvPr>
        <xdr:cNvSpPr/>
      </xdr:nvSpPr>
      <xdr:spPr>
        <a:xfrm>
          <a:off x="2038350" y="51936650"/>
          <a:ext cx="17983200" cy="18415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FF6600"/>
              </a:solidFill>
            </a:rPr>
            <a:t>≤</a:t>
          </a:r>
        </a:p>
      </xdr:txBody>
    </xdr:sp>
    <xdr:clientData/>
  </xdr:twoCellAnchor>
  <xdr:twoCellAnchor>
    <xdr:from>
      <xdr:col>15</xdr:col>
      <xdr:colOff>0</xdr:colOff>
      <xdr:row>153</xdr:row>
      <xdr:rowOff>0</xdr:rowOff>
    </xdr:from>
    <xdr:to>
      <xdr:col>15</xdr:col>
      <xdr:colOff>0</xdr:colOff>
      <xdr:row>282</xdr:row>
      <xdr:rowOff>0</xdr:rowOff>
    </xdr:to>
    <xdr:cxnSp macro="">
      <xdr:nvCxnSpPr>
        <xdr:cNvPr id="1041" name="OpenSolver51">
          <a:extLst>
            <a:ext uri="{FF2B5EF4-FFF2-40B4-BE49-F238E27FC236}">
              <a16:creationId xmlns:a16="http://schemas.microsoft.com/office/drawing/2014/main" id="{3ED05B60-F32E-4277-BDC3-BF07EBE5A21C}"/>
            </a:ext>
          </a:extLst>
        </xdr:cNvPr>
        <xdr:cNvCxnSpPr>
          <a:stCxn id="1039" idx="2"/>
          <a:endCxn id="1040" idx="0"/>
        </xdr:cNvCxnSpPr>
      </xdr:nvCxnSpPr>
      <xdr:spPr>
        <a:xfrm>
          <a:off x="11029950" y="28181300"/>
          <a:ext cx="0" cy="2375535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558800</xdr:colOff>
      <xdr:row>216</xdr:row>
      <xdr:rowOff>149225</xdr:rowOff>
    </xdr:from>
    <xdr:to>
      <xdr:col>15</xdr:col>
      <xdr:colOff>190500</xdr:colOff>
      <xdr:row>218</xdr:row>
      <xdr:rowOff>34925</xdr:rowOff>
    </xdr:to>
    <xdr:sp macro="" textlink="">
      <xdr:nvSpPr>
        <xdr:cNvPr id="1042" name="OpenSolver52">
          <a:extLst>
            <a:ext uri="{FF2B5EF4-FFF2-40B4-BE49-F238E27FC236}">
              <a16:creationId xmlns:a16="http://schemas.microsoft.com/office/drawing/2014/main" id="{7C3B69ED-0751-46A9-B6DA-50856F9721C0}"/>
            </a:ext>
          </a:extLst>
        </xdr:cNvPr>
        <xdr:cNvSpPr/>
      </xdr:nvSpPr>
      <xdr:spPr>
        <a:xfrm>
          <a:off x="10839450" y="3993197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161</xdr:row>
      <xdr:rowOff>0</xdr:rowOff>
    </xdr:from>
    <xdr:to>
      <xdr:col>27</xdr:col>
      <xdr:colOff>0</xdr:colOff>
      <xdr:row>162</xdr:row>
      <xdr:rowOff>0</xdr:rowOff>
    </xdr:to>
    <xdr:sp macro="" textlink="">
      <xdr:nvSpPr>
        <xdr:cNvPr id="1043" name="OpenSolver53">
          <a:extLst>
            <a:ext uri="{FF2B5EF4-FFF2-40B4-BE49-F238E27FC236}">
              <a16:creationId xmlns:a16="http://schemas.microsoft.com/office/drawing/2014/main" id="{3FA19C99-7F97-4D2B-BAAF-31287EFA164D}"/>
            </a:ext>
          </a:extLst>
        </xdr:cNvPr>
        <xdr:cNvSpPr/>
      </xdr:nvSpPr>
      <xdr:spPr>
        <a:xfrm>
          <a:off x="2038350" y="29654500"/>
          <a:ext cx="17983200" cy="18415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3</xdr:col>
      <xdr:colOff>0</xdr:colOff>
      <xdr:row>284</xdr:row>
      <xdr:rowOff>0</xdr:rowOff>
    </xdr:from>
    <xdr:to>
      <xdr:col>27</xdr:col>
      <xdr:colOff>0</xdr:colOff>
      <xdr:row>285</xdr:row>
      <xdr:rowOff>0</xdr:rowOff>
    </xdr:to>
    <xdr:sp macro="" textlink="">
      <xdr:nvSpPr>
        <xdr:cNvPr id="1044" name="OpenSolver54">
          <a:extLst>
            <a:ext uri="{FF2B5EF4-FFF2-40B4-BE49-F238E27FC236}">
              <a16:creationId xmlns:a16="http://schemas.microsoft.com/office/drawing/2014/main" id="{B1032E8A-678A-4312-99DB-85D41008B22C}"/>
            </a:ext>
          </a:extLst>
        </xdr:cNvPr>
        <xdr:cNvSpPr/>
      </xdr:nvSpPr>
      <xdr:spPr>
        <a:xfrm>
          <a:off x="2038350" y="52304950"/>
          <a:ext cx="17983200" cy="18415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CC0099"/>
              </a:solidFill>
            </a:rPr>
            <a:t>≤</a:t>
          </a:r>
        </a:p>
      </xdr:txBody>
    </xdr:sp>
    <xdr:clientData/>
  </xdr:twoCellAnchor>
  <xdr:twoCellAnchor>
    <xdr:from>
      <xdr:col>15</xdr:col>
      <xdr:colOff>0</xdr:colOff>
      <xdr:row>162</xdr:row>
      <xdr:rowOff>0</xdr:rowOff>
    </xdr:from>
    <xdr:to>
      <xdr:col>15</xdr:col>
      <xdr:colOff>0</xdr:colOff>
      <xdr:row>284</xdr:row>
      <xdr:rowOff>0</xdr:rowOff>
    </xdr:to>
    <xdr:cxnSp macro="">
      <xdr:nvCxnSpPr>
        <xdr:cNvPr id="1045" name="OpenSolver55">
          <a:extLst>
            <a:ext uri="{FF2B5EF4-FFF2-40B4-BE49-F238E27FC236}">
              <a16:creationId xmlns:a16="http://schemas.microsoft.com/office/drawing/2014/main" id="{0A877C67-C5E8-4CA7-89A2-5849672DC125}"/>
            </a:ext>
          </a:extLst>
        </xdr:cNvPr>
        <xdr:cNvCxnSpPr>
          <a:stCxn id="1043" idx="2"/>
          <a:endCxn id="1044" idx="0"/>
        </xdr:cNvCxnSpPr>
      </xdr:nvCxnSpPr>
      <xdr:spPr>
        <a:xfrm>
          <a:off x="11029950" y="29838650"/>
          <a:ext cx="0" cy="2246630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558800</xdr:colOff>
      <xdr:row>222</xdr:row>
      <xdr:rowOff>57150</xdr:rowOff>
    </xdr:from>
    <xdr:to>
      <xdr:col>15</xdr:col>
      <xdr:colOff>190500</xdr:colOff>
      <xdr:row>223</xdr:row>
      <xdr:rowOff>127000</xdr:rowOff>
    </xdr:to>
    <xdr:sp macro="" textlink="">
      <xdr:nvSpPr>
        <xdr:cNvPr id="1046" name="OpenSolver56">
          <a:extLst>
            <a:ext uri="{FF2B5EF4-FFF2-40B4-BE49-F238E27FC236}">
              <a16:creationId xmlns:a16="http://schemas.microsoft.com/office/drawing/2014/main" id="{ED5EAFD5-A6CE-46B2-9E13-8ABDC86D0F31}"/>
            </a:ext>
          </a:extLst>
        </xdr:cNvPr>
        <xdr:cNvSpPr/>
      </xdr:nvSpPr>
      <xdr:spPr>
        <a:xfrm>
          <a:off x="10839450" y="409448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168</xdr:row>
      <xdr:rowOff>0</xdr:rowOff>
    </xdr:from>
    <xdr:to>
      <xdr:col>27</xdr:col>
      <xdr:colOff>0</xdr:colOff>
      <xdr:row>169</xdr:row>
      <xdr:rowOff>0</xdr:rowOff>
    </xdr:to>
    <xdr:sp macro="" textlink="">
      <xdr:nvSpPr>
        <xdr:cNvPr id="1047" name="OpenSolver57">
          <a:extLst>
            <a:ext uri="{FF2B5EF4-FFF2-40B4-BE49-F238E27FC236}">
              <a16:creationId xmlns:a16="http://schemas.microsoft.com/office/drawing/2014/main" id="{43CC1028-D910-43D4-A1F9-E793765FB035}"/>
            </a:ext>
          </a:extLst>
        </xdr:cNvPr>
        <xdr:cNvSpPr/>
      </xdr:nvSpPr>
      <xdr:spPr>
        <a:xfrm>
          <a:off x="2038350" y="30943550"/>
          <a:ext cx="17983200" cy="1841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3</xdr:col>
      <xdr:colOff>0</xdr:colOff>
      <xdr:row>286</xdr:row>
      <xdr:rowOff>0</xdr:rowOff>
    </xdr:from>
    <xdr:to>
      <xdr:col>27</xdr:col>
      <xdr:colOff>0</xdr:colOff>
      <xdr:row>287</xdr:row>
      <xdr:rowOff>0</xdr:rowOff>
    </xdr:to>
    <xdr:sp macro="" textlink="">
      <xdr:nvSpPr>
        <xdr:cNvPr id="1048" name="OpenSolver58">
          <a:extLst>
            <a:ext uri="{FF2B5EF4-FFF2-40B4-BE49-F238E27FC236}">
              <a16:creationId xmlns:a16="http://schemas.microsoft.com/office/drawing/2014/main" id="{BB0A4E61-A195-4981-BD1E-B0D7A0367178}"/>
            </a:ext>
          </a:extLst>
        </xdr:cNvPr>
        <xdr:cNvSpPr/>
      </xdr:nvSpPr>
      <xdr:spPr>
        <a:xfrm>
          <a:off x="2038350" y="52673250"/>
          <a:ext cx="17983200" cy="1841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15</xdr:col>
      <xdr:colOff>0</xdr:colOff>
      <xdr:row>169</xdr:row>
      <xdr:rowOff>0</xdr:rowOff>
    </xdr:from>
    <xdr:to>
      <xdr:col>15</xdr:col>
      <xdr:colOff>0</xdr:colOff>
      <xdr:row>286</xdr:row>
      <xdr:rowOff>0</xdr:rowOff>
    </xdr:to>
    <xdr:cxnSp macro="">
      <xdr:nvCxnSpPr>
        <xdr:cNvPr id="1049" name="OpenSolver59">
          <a:extLst>
            <a:ext uri="{FF2B5EF4-FFF2-40B4-BE49-F238E27FC236}">
              <a16:creationId xmlns:a16="http://schemas.microsoft.com/office/drawing/2014/main" id="{0F8F2635-9479-4CBF-A520-965E5E009415}"/>
            </a:ext>
          </a:extLst>
        </xdr:cNvPr>
        <xdr:cNvCxnSpPr>
          <a:stCxn id="1047" idx="2"/>
          <a:endCxn id="1048" idx="0"/>
        </xdr:cNvCxnSpPr>
      </xdr:nvCxnSpPr>
      <xdr:spPr>
        <a:xfrm>
          <a:off x="11029950" y="31127700"/>
          <a:ext cx="0" cy="2154555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558800</xdr:colOff>
      <xdr:row>226</xdr:row>
      <xdr:rowOff>149225</xdr:rowOff>
    </xdr:from>
    <xdr:to>
      <xdr:col>15</xdr:col>
      <xdr:colOff>190500</xdr:colOff>
      <xdr:row>228</xdr:row>
      <xdr:rowOff>34925</xdr:rowOff>
    </xdr:to>
    <xdr:sp macro="" textlink="">
      <xdr:nvSpPr>
        <xdr:cNvPr id="1050" name="OpenSolver60">
          <a:extLst>
            <a:ext uri="{FF2B5EF4-FFF2-40B4-BE49-F238E27FC236}">
              <a16:creationId xmlns:a16="http://schemas.microsoft.com/office/drawing/2014/main" id="{AB14C6A9-12F8-4042-A512-0417E8BE30AB}"/>
            </a:ext>
          </a:extLst>
        </xdr:cNvPr>
        <xdr:cNvSpPr/>
      </xdr:nvSpPr>
      <xdr:spPr>
        <a:xfrm>
          <a:off x="10839450" y="4177347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167</xdr:row>
      <xdr:rowOff>0</xdr:rowOff>
    </xdr:from>
    <xdr:to>
      <xdr:col>27</xdr:col>
      <xdr:colOff>0</xdr:colOff>
      <xdr:row>168</xdr:row>
      <xdr:rowOff>0</xdr:rowOff>
    </xdr:to>
    <xdr:sp macro="" textlink="">
      <xdr:nvSpPr>
        <xdr:cNvPr id="1051" name="OpenSolver61">
          <a:extLst>
            <a:ext uri="{FF2B5EF4-FFF2-40B4-BE49-F238E27FC236}">
              <a16:creationId xmlns:a16="http://schemas.microsoft.com/office/drawing/2014/main" id="{60ED59A6-FA4C-4B0B-B304-F1A296503C7B}"/>
            </a:ext>
          </a:extLst>
        </xdr:cNvPr>
        <xdr:cNvSpPr/>
      </xdr:nvSpPr>
      <xdr:spPr>
        <a:xfrm>
          <a:off x="2038350" y="30759400"/>
          <a:ext cx="17983200" cy="1841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3</xdr:col>
      <xdr:colOff>12700</xdr:colOff>
      <xdr:row>286</xdr:row>
      <xdr:rowOff>12700</xdr:rowOff>
    </xdr:from>
    <xdr:to>
      <xdr:col>27</xdr:col>
      <xdr:colOff>0</xdr:colOff>
      <xdr:row>287</xdr:row>
      <xdr:rowOff>0</xdr:rowOff>
    </xdr:to>
    <xdr:sp macro="" textlink="">
      <xdr:nvSpPr>
        <xdr:cNvPr id="1052" name="OpenSolver62">
          <a:extLst>
            <a:ext uri="{FF2B5EF4-FFF2-40B4-BE49-F238E27FC236}">
              <a16:creationId xmlns:a16="http://schemas.microsoft.com/office/drawing/2014/main" id="{6CFF5C8B-C1D1-48E5-96E3-52ABF468D2AB}"/>
            </a:ext>
          </a:extLst>
        </xdr:cNvPr>
        <xdr:cNvSpPr/>
      </xdr:nvSpPr>
      <xdr:spPr>
        <a:xfrm>
          <a:off x="2051050" y="52685950"/>
          <a:ext cx="17970500" cy="1714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15</xdr:col>
      <xdr:colOff>0</xdr:colOff>
      <xdr:row>168</xdr:row>
      <xdr:rowOff>0</xdr:rowOff>
    </xdr:from>
    <xdr:to>
      <xdr:col>15</xdr:col>
      <xdr:colOff>6350</xdr:colOff>
      <xdr:row>286</xdr:row>
      <xdr:rowOff>12700</xdr:rowOff>
    </xdr:to>
    <xdr:cxnSp macro="">
      <xdr:nvCxnSpPr>
        <xdr:cNvPr id="1053" name="OpenSolver63">
          <a:extLst>
            <a:ext uri="{FF2B5EF4-FFF2-40B4-BE49-F238E27FC236}">
              <a16:creationId xmlns:a16="http://schemas.microsoft.com/office/drawing/2014/main" id="{A92284A8-53B0-4B46-ADBA-260CF74064C6}"/>
            </a:ext>
          </a:extLst>
        </xdr:cNvPr>
        <xdr:cNvCxnSpPr>
          <a:stCxn id="1051" idx="2"/>
          <a:endCxn id="1052" idx="0"/>
        </xdr:cNvCxnSpPr>
      </xdr:nvCxnSpPr>
      <xdr:spPr>
        <a:xfrm>
          <a:off x="11029950" y="30943550"/>
          <a:ext cx="6350" cy="2174240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561975</xdr:colOff>
      <xdr:row>226</xdr:row>
      <xdr:rowOff>63500</xdr:rowOff>
    </xdr:from>
    <xdr:to>
      <xdr:col>15</xdr:col>
      <xdr:colOff>193675</xdr:colOff>
      <xdr:row>227</xdr:row>
      <xdr:rowOff>133350</xdr:rowOff>
    </xdr:to>
    <xdr:sp macro="" textlink="">
      <xdr:nvSpPr>
        <xdr:cNvPr id="1054" name="OpenSolver64">
          <a:extLst>
            <a:ext uri="{FF2B5EF4-FFF2-40B4-BE49-F238E27FC236}">
              <a16:creationId xmlns:a16="http://schemas.microsoft.com/office/drawing/2014/main" id="{C316A949-0135-4F92-8FD7-3C14CE47176C}"/>
            </a:ext>
          </a:extLst>
        </xdr:cNvPr>
        <xdr:cNvSpPr/>
      </xdr:nvSpPr>
      <xdr:spPr>
        <a:xfrm>
          <a:off x="10842625" y="416877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180</xdr:row>
      <xdr:rowOff>0</xdr:rowOff>
    </xdr:from>
    <xdr:to>
      <xdr:col>27</xdr:col>
      <xdr:colOff>0</xdr:colOff>
      <xdr:row>181</xdr:row>
      <xdr:rowOff>0</xdr:rowOff>
    </xdr:to>
    <xdr:sp macro="" textlink="">
      <xdr:nvSpPr>
        <xdr:cNvPr id="1055" name="OpenSolver65">
          <a:extLst>
            <a:ext uri="{FF2B5EF4-FFF2-40B4-BE49-F238E27FC236}">
              <a16:creationId xmlns:a16="http://schemas.microsoft.com/office/drawing/2014/main" id="{44434F82-243F-4925-ADE7-6268F6DDCC24}"/>
            </a:ext>
          </a:extLst>
        </xdr:cNvPr>
        <xdr:cNvSpPr/>
      </xdr:nvSpPr>
      <xdr:spPr>
        <a:xfrm>
          <a:off x="2038350" y="33153350"/>
          <a:ext cx="17983200" cy="18415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3</xdr:col>
      <xdr:colOff>0</xdr:colOff>
      <xdr:row>182</xdr:row>
      <xdr:rowOff>0</xdr:rowOff>
    </xdr:from>
    <xdr:to>
      <xdr:col>27</xdr:col>
      <xdr:colOff>0</xdr:colOff>
      <xdr:row>183</xdr:row>
      <xdr:rowOff>0</xdr:rowOff>
    </xdr:to>
    <xdr:sp macro="" textlink="">
      <xdr:nvSpPr>
        <xdr:cNvPr id="1056" name="OpenSolver66">
          <a:extLst>
            <a:ext uri="{FF2B5EF4-FFF2-40B4-BE49-F238E27FC236}">
              <a16:creationId xmlns:a16="http://schemas.microsoft.com/office/drawing/2014/main" id="{1D0004D5-72E9-45DB-8E50-B4F6AB08DD8D}"/>
            </a:ext>
          </a:extLst>
        </xdr:cNvPr>
        <xdr:cNvSpPr/>
      </xdr:nvSpPr>
      <xdr:spPr>
        <a:xfrm>
          <a:off x="2038350" y="33521650"/>
          <a:ext cx="17983200" cy="18415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9900CC"/>
              </a:solidFill>
            </a:rPr>
            <a:t>≤</a:t>
          </a:r>
        </a:p>
      </xdr:txBody>
    </xdr:sp>
    <xdr:clientData/>
  </xdr:twoCellAnchor>
  <xdr:twoCellAnchor>
    <xdr:from>
      <xdr:col>15</xdr:col>
      <xdr:colOff>0</xdr:colOff>
      <xdr:row>181</xdr:row>
      <xdr:rowOff>0</xdr:rowOff>
    </xdr:from>
    <xdr:to>
      <xdr:col>15</xdr:col>
      <xdr:colOff>0</xdr:colOff>
      <xdr:row>182</xdr:row>
      <xdr:rowOff>0</xdr:rowOff>
    </xdr:to>
    <xdr:cxnSp macro="">
      <xdr:nvCxnSpPr>
        <xdr:cNvPr id="1057" name="OpenSolver67">
          <a:extLst>
            <a:ext uri="{FF2B5EF4-FFF2-40B4-BE49-F238E27FC236}">
              <a16:creationId xmlns:a16="http://schemas.microsoft.com/office/drawing/2014/main" id="{DD241477-4A69-4E8C-9490-079457E0A9D2}"/>
            </a:ext>
          </a:extLst>
        </xdr:cNvPr>
        <xdr:cNvCxnSpPr>
          <a:stCxn id="1055" idx="2"/>
          <a:endCxn id="1056" idx="0"/>
        </xdr:cNvCxnSpPr>
      </xdr:nvCxnSpPr>
      <xdr:spPr>
        <a:xfrm>
          <a:off x="11029950" y="33337500"/>
          <a:ext cx="0" cy="18415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558800</xdr:colOff>
      <xdr:row>180</xdr:row>
      <xdr:rowOff>149225</xdr:rowOff>
    </xdr:from>
    <xdr:to>
      <xdr:col>15</xdr:col>
      <xdr:colOff>190500</xdr:colOff>
      <xdr:row>182</xdr:row>
      <xdr:rowOff>34925</xdr:rowOff>
    </xdr:to>
    <xdr:sp macro="" textlink="">
      <xdr:nvSpPr>
        <xdr:cNvPr id="1058" name="OpenSolver68">
          <a:extLst>
            <a:ext uri="{FF2B5EF4-FFF2-40B4-BE49-F238E27FC236}">
              <a16:creationId xmlns:a16="http://schemas.microsoft.com/office/drawing/2014/main" id="{B84F6833-B926-4294-A22F-5643CF4B7A69}"/>
            </a:ext>
          </a:extLst>
        </xdr:cNvPr>
        <xdr:cNvSpPr/>
      </xdr:nvSpPr>
      <xdr:spPr>
        <a:xfrm>
          <a:off x="10839450" y="3330257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174</xdr:row>
      <xdr:rowOff>0</xdr:rowOff>
    </xdr:from>
    <xdr:to>
      <xdr:col>27</xdr:col>
      <xdr:colOff>0</xdr:colOff>
      <xdr:row>175</xdr:row>
      <xdr:rowOff>0</xdr:rowOff>
    </xdr:to>
    <xdr:sp macro="" textlink="">
      <xdr:nvSpPr>
        <xdr:cNvPr id="1059" name="OpenSolver69">
          <a:extLst>
            <a:ext uri="{FF2B5EF4-FFF2-40B4-BE49-F238E27FC236}">
              <a16:creationId xmlns:a16="http://schemas.microsoft.com/office/drawing/2014/main" id="{503CB87C-DE4E-4C6E-84C2-96EE7E093F46}"/>
            </a:ext>
          </a:extLst>
        </xdr:cNvPr>
        <xdr:cNvSpPr/>
      </xdr:nvSpPr>
      <xdr:spPr>
        <a:xfrm>
          <a:off x="2038350" y="32048450"/>
          <a:ext cx="17983200" cy="18415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3</xdr:col>
      <xdr:colOff>0</xdr:colOff>
      <xdr:row>288</xdr:row>
      <xdr:rowOff>0</xdr:rowOff>
    </xdr:from>
    <xdr:to>
      <xdr:col>27</xdr:col>
      <xdr:colOff>0</xdr:colOff>
      <xdr:row>289</xdr:row>
      <xdr:rowOff>0</xdr:rowOff>
    </xdr:to>
    <xdr:sp macro="" textlink="">
      <xdr:nvSpPr>
        <xdr:cNvPr id="1060" name="OpenSolver70">
          <a:extLst>
            <a:ext uri="{FF2B5EF4-FFF2-40B4-BE49-F238E27FC236}">
              <a16:creationId xmlns:a16="http://schemas.microsoft.com/office/drawing/2014/main" id="{C4751292-9C57-4BE0-A6F6-87A8F2AD67BA}"/>
            </a:ext>
          </a:extLst>
        </xdr:cNvPr>
        <xdr:cNvSpPr/>
      </xdr:nvSpPr>
      <xdr:spPr>
        <a:xfrm>
          <a:off x="2038350" y="53041550"/>
          <a:ext cx="17983200" cy="18415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800000"/>
              </a:solidFill>
            </a:rPr>
            <a:t>≤</a:t>
          </a:r>
        </a:p>
      </xdr:txBody>
    </xdr:sp>
    <xdr:clientData/>
  </xdr:twoCellAnchor>
  <xdr:twoCellAnchor>
    <xdr:from>
      <xdr:col>15</xdr:col>
      <xdr:colOff>0</xdr:colOff>
      <xdr:row>175</xdr:row>
      <xdr:rowOff>0</xdr:rowOff>
    </xdr:from>
    <xdr:to>
      <xdr:col>15</xdr:col>
      <xdr:colOff>0</xdr:colOff>
      <xdr:row>288</xdr:row>
      <xdr:rowOff>0</xdr:rowOff>
    </xdr:to>
    <xdr:cxnSp macro="">
      <xdr:nvCxnSpPr>
        <xdr:cNvPr id="1061" name="OpenSolver71">
          <a:extLst>
            <a:ext uri="{FF2B5EF4-FFF2-40B4-BE49-F238E27FC236}">
              <a16:creationId xmlns:a16="http://schemas.microsoft.com/office/drawing/2014/main" id="{03BF8A2C-7087-483B-BF11-745A939A7915}"/>
            </a:ext>
          </a:extLst>
        </xdr:cNvPr>
        <xdr:cNvCxnSpPr>
          <a:stCxn id="1059" idx="2"/>
          <a:endCxn id="1060" idx="0"/>
        </xdr:cNvCxnSpPr>
      </xdr:nvCxnSpPr>
      <xdr:spPr>
        <a:xfrm>
          <a:off x="11029950" y="32232600"/>
          <a:ext cx="0" cy="2080895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558800</xdr:colOff>
      <xdr:row>230</xdr:row>
      <xdr:rowOff>149225</xdr:rowOff>
    </xdr:from>
    <xdr:to>
      <xdr:col>15</xdr:col>
      <xdr:colOff>190500</xdr:colOff>
      <xdr:row>232</xdr:row>
      <xdr:rowOff>34925</xdr:rowOff>
    </xdr:to>
    <xdr:sp macro="" textlink="">
      <xdr:nvSpPr>
        <xdr:cNvPr id="1062" name="OpenSolver72">
          <a:extLst>
            <a:ext uri="{FF2B5EF4-FFF2-40B4-BE49-F238E27FC236}">
              <a16:creationId xmlns:a16="http://schemas.microsoft.com/office/drawing/2014/main" id="{F6456037-19DD-4932-A704-4E1554D53CDC}"/>
            </a:ext>
          </a:extLst>
        </xdr:cNvPr>
        <xdr:cNvSpPr/>
      </xdr:nvSpPr>
      <xdr:spPr>
        <a:xfrm>
          <a:off x="10839450" y="4251007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12700</xdr:colOff>
      <xdr:row>180</xdr:row>
      <xdr:rowOff>12700</xdr:rowOff>
    </xdr:from>
    <xdr:to>
      <xdr:col>27</xdr:col>
      <xdr:colOff>0</xdr:colOff>
      <xdr:row>181</xdr:row>
      <xdr:rowOff>0</xdr:rowOff>
    </xdr:to>
    <xdr:sp macro="" textlink="">
      <xdr:nvSpPr>
        <xdr:cNvPr id="1063" name="OpenSolver73">
          <a:extLst>
            <a:ext uri="{FF2B5EF4-FFF2-40B4-BE49-F238E27FC236}">
              <a16:creationId xmlns:a16="http://schemas.microsoft.com/office/drawing/2014/main" id="{F2468028-0528-43D6-8973-94CECB41392E}"/>
            </a:ext>
          </a:extLst>
        </xdr:cNvPr>
        <xdr:cNvSpPr/>
      </xdr:nvSpPr>
      <xdr:spPr>
        <a:xfrm>
          <a:off x="2051050" y="33166050"/>
          <a:ext cx="17970500" cy="17145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3</xdr:col>
      <xdr:colOff>0</xdr:colOff>
      <xdr:row>181</xdr:row>
      <xdr:rowOff>0</xdr:rowOff>
    </xdr:from>
    <xdr:to>
      <xdr:col>27</xdr:col>
      <xdr:colOff>0</xdr:colOff>
      <xdr:row>182</xdr:row>
      <xdr:rowOff>0</xdr:rowOff>
    </xdr:to>
    <xdr:sp macro="" textlink="">
      <xdr:nvSpPr>
        <xdr:cNvPr id="1064" name="OpenSolver74">
          <a:extLst>
            <a:ext uri="{FF2B5EF4-FFF2-40B4-BE49-F238E27FC236}">
              <a16:creationId xmlns:a16="http://schemas.microsoft.com/office/drawing/2014/main" id="{75C372AF-31F4-4474-9F22-6A9F21E83DDB}"/>
            </a:ext>
          </a:extLst>
        </xdr:cNvPr>
        <xdr:cNvSpPr/>
      </xdr:nvSpPr>
      <xdr:spPr>
        <a:xfrm>
          <a:off x="2038350" y="33337500"/>
          <a:ext cx="17983200" cy="18415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CC33"/>
              </a:solidFill>
            </a:rPr>
            <a:t>≥</a:t>
          </a:r>
        </a:p>
      </xdr:txBody>
    </xdr:sp>
    <xdr:clientData/>
  </xdr:twoCellAnchor>
  <xdr:twoCellAnchor>
    <xdr:from>
      <xdr:col>15</xdr:col>
      <xdr:colOff>0</xdr:colOff>
      <xdr:row>181</xdr:row>
      <xdr:rowOff>0</xdr:rowOff>
    </xdr:from>
    <xdr:to>
      <xdr:col>15</xdr:col>
      <xdr:colOff>6350</xdr:colOff>
      <xdr:row>181</xdr:row>
      <xdr:rowOff>0</xdr:rowOff>
    </xdr:to>
    <xdr:cxnSp macro="">
      <xdr:nvCxnSpPr>
        <xdr:cNvPr id="1065" name="OpenSolver75">
          <a:extLst>
            <a:ext uri="{FF2B5EF4-FFF2-40B4-BE49-F238E27FC236}">
              <a16:creationId xmlns:a16="http://schemas.microsoft.com/office/drawing/2014/main" id="{B2665AAC-3C3E-42E6-B7B4-E4F73FD8825F}"/>
            </a:ext>
          </a:extLst>
        </xdr:cNvPr>
        <xdr:cNvCxnSpPr>
          <a:stCxn id="1063" idx="2"/>
          <a:endCxn id="1064" idx="0"/>
        </xdr:cNvCxnSpPr>
      </xdr:nvCxnSpPr>
      <xdr:spPr>
        <a:xfrm flipH="1">
          <a:off x="11029950" y="33337500"/>
          <a:ext cx="6350" cy="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561975</xdr:colOff>
      <xdr:row>180</xdr:row>
      <xdr:rowOff>57150</xdr:rowOff>
    </xdr:from>
    <xdr:to>
      <xdr:col>15</xdr:col>
      <xdr:colOff>193675</xdr:colOff>
      <xdr:row>181</xdr:row>
      <xdr:rowOff>127000</xdr:rowOff>
    </xdr:to>
    <xdr:sp macro="" textlink="">
      <xdr:nvSpPr>
        <xdr:cNvPr id="1066" name="OpenSolver76">
          <a:extLst>
            <a:ext uri="{FF2B5EF4-FFF2-40B4-BE49-F238E27FC236}">
              <a16:creationId xmlns:a16="http://schemas.microsoft.com/office/drawing/2014/main" id="{1668241C-2532-4601-AF6A-7CDBF67811A8}"/>
            </a:ext>
          </a:extLst>
        </xdr:cNvPr>
        <xdr:cNvSpPr/>
      </xdr:nvSpPr>
      <xdr:spPr>
        <a:xfrm>
          <a:off x="10842625" y="332105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195</xdr:row>
      <xdr:rowOff>0</xdr:rowOff>
    </xdr:from>
    <xdr:to>
      <xdr:col>27</xdr:col>
      <xdr:colOff>0</xdr:colOff>
      <xdr:row>196</xdr:row>
      <xdr:rowOff>0</xdr:rowOff>
    </xdr:to>
    <xdr:sp macro="" textlink="">
      <xdr:nvSpPr>
        <xdr:cNvPr id="1067" name="OpenSolver77">
          <a:extLst>
            <a:ext uri="{FF2B5EF4-FFF2-40B4-BE49-F238E27FC236}">
              <a16:creationId xmlns:a16="http://schemas.microsoft.com/office/drawing/2014/main" id="{03FFB36D-5579-42D2-9680-541E4CF52B4A}"/>
            </a:ext>
          </a:extLst>
        </xdr:cNvPr>
        <xdr:cNvSpPr/>
      </xdr:nvSpPr>
      <xdr:spPr>
        <a:xfrm>
          <a:off x="2038350" y="35915600"/>
          <a:ext cx="17983200" cy="18415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3</xdr:col>
      <xdr:colOff>0</xdr:colOff>
      <xdr:row>292</xdr:row>
      <xdr:rowOff>0</xdr:rowOff>
    </xdr:from>
    <xdr:to>
      <xdr:col>27</xdr:col>
      <xdr:colOff>0</xdr:colOff>
      <xdr:row>293</xdr:row>
      <xdr:rowOff>0</xdr:rowOff>
    </xdr:to>
    <xdr:sp macro="" textlink="">
      <xdr:nvSpPr>
        <xdr:cNvPr id="1068" name="OpenSolver78">
          <a:extLst>
            <a:ext uri="{FF2B5EF4-FFF2-40B4-BE49-F238E27FC236}">
              <a16:creationId xmlns:a16="http://schemas.microsoft.com/office/drawing/2014/main" id="{AB15C6C2-5487-4FB5-AB1E-CDF7953F2DFC}"/>
            </a:ext>
          </a:extLst>
        </xdr:cNvPr>
        <xdr:cNvSpPr/>
      </xdr:nvSpPr>
      <xdr:spPr>
        <a:xfrm>
          <a:off x="2038350" y="53778150"/>
          <a:ext cx="17983200" cy="18415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FF6600"/>
              </a:solidFill>
            </a:rPr>
            <a:t>≤</a:t>
          </a:r>
        </a:p>
      </xdr:txBody>
    </xdr:sp>
    <xdr:clientData/>
  </xdr:twoCellAnchor>
  <xdr:twoCellAnchor>
    <xdr:from>
      <xdr:col>15</xdr:col>
      <xdr:colOff>0</xdr:colOff>
      <xdr:row>196</xdr:row>
      <xdr:rowOff>0</xdr:rowOff>
    </xdr:from>
    <xdr:to>
      <xdr:col>15</xdr:col>
      <xdr:colOff>0</xdr:colOff>
      <xdr:row>292</xdr:row>
      <xdr:rowOff>0</xdr:rowOff>
    </xdr:to>
    <xdr:cxnSp macro="">
      <xdr:nvCxnSpPr>
        <xdr:cNvPr id="1069" name="OpenSolver79">
          <a:extLst>
            <a:ext uri="{FF2B5EF4-FFF2-40B4-BE49-F238E27FC236}">
              <a16:creationId xmlns:a16="http://schemas.microsoft.com/office/drawing/2014/main" id="{B2C0D7C3-6231-47A3-91B9-9A768A9D19C7}"/>
            </a:ext>
          </a:extLst>
        </xdr:cNvPr>
        <xdr:cNvCxnSpPr>
          <a:stCxn id="1067" idx="2"/>
          <a:endCxn id="1068" idx="0"/>
        </xdr:cNvCxnSpPr>
      </xdr:nvCxnSpPr>
      <xdr:spPr>
        <a:xfrm>
          <a:off x="11029950" y="36099750"/>
          <a:ext cx="0" cy="1767840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558800</xdr:colOff>
      <xdr:row>243</xdr:row>
      <xdr:rowOff>57153</xdr:rowOff>
    </xdr:from>
    <xdr:to>
      <xdr:col>15</xdr:col>
      <xdr:colOff>190500</xdr:colOff>
      <xdr:row>244</xdr:row>
      <xdr:rowOff>127003</xdr:rowOff>
    </xdr:to>
    <xdr:sp macro="" textlink="">
      <xdr:nvSpPr>
        <xdr:cNvPr id="1070" name="OpenSolver80">
          <a:extLst>
            <a:ext uri="{FF2B5EF4-FFF2-40B4-BE49-F238E27FC236}">
              <a16:creationId xmlns:a16="http://schemas.microsoft.com/office/drawing/2014/main" id="{756F5BA5-AE61-4B57-83F9-BEBE56A39C0D}"/>
            </a:ext>
          </a:extLst>
        </xdr:cNvPr>
        <xdr:cNvSpPr/>
      </xdr:nvSpPr>
      <xdr:spPr>
        <a:xfrm>
          <a:off x="10839450" y="44811953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191</xdr:row>
      <xdr:rowOff>0</xdr:rowOff>
    </xdr:from>
    <xdr:to>
      <xdr:col>27</xdr:col>
      <xdr:colOff>0</xdr:colOff>
      <xdr:row>192</xdr:row>
      <xdr:rowOff>0</xdr:rowOff>
    </xdr:to>
    <xdr:sp macro="" textlink="">
      <xdr:nvSpPr>
        <xdr:cNvPr id="1071" name="OpenSolver81">
          <a:extLst>
            <a:ext uri="{FF2B5EF4-FFF2-40B4-BE49-F238E27FC236}">
              <a16:creationId xmlns:a16="http://schemas.microsoft.com/office/drawing/2014/main" id="{A4872992-7849-4DB5-AE1A-D377D3D62379}"/>
            </a:ext>
          </a:extLst>
        </xdr:cNvPr>
        <xdr:cNvSpPr/>
      </xdr:nvSpPr>
      <xdr:spPr>
        <a:xfrm>
          <a:off x="2038350" y="35179000"/>
          <a:ext cx="17983200" cy="18415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3</xdr:col>
      <xdr:colOff>0</xdr:colOff>
      <xdr:row>192</xdr:row>
      <xdr:rowOff>0</xdr:rowOff>
    </xdr:from>
    <xdr:to>
      <xdr:col>27</xdr:col>
      <xdr:colOff>0</xdr:colOff>
      <xdr:row>193</xdr:row>
      <xdr:rowOff>0</xdr:rowOff>
    </xdr:to>
    <xdr:sp macro="" textlink="">
      <xdr:nvSpPr>
        <xdr:cNvPr id="1072" name="OpenSolver82">
          <a:extLst>
            <a:ext uri="{FF2B5EF4-FFF2-40B4-BE49-F238E27FC236}">
              <a16:creationId xmlns:a16="http://schemas.microsoft.com/office/drawing/2014/main" id="{3164EF1D-2D23-4814-AA0A-0473F6F3DC01}"/>
            </a:ext>
          </a:extLst>
        </xdr:cNvPr>
        <xdr:cNvSpPr/>
      </xdr:nvSpPr>
      <xdr:spPr>
        <a:xfrm>
          <a:off x="2038350" y="35363150"/>
          <a:ext cx="17983200" cy="18415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CC0099"/>
              </a:solidFill>
            </a:rPr>
            <a:t>≥</a:t>
          </a:r>
        </a:p>
      </xdr:txBody>
    </xdr:sp>
    <xdr:clientData/>
  </xdr:twoCellAnchor>
  <xdr:twoCellAnchor>
    <xdr:from>
      <xdr:col>15</xdr:col>
      <xdr:colOff>0</xdr:colOff>
      <xdr:row>192</xdr:row>
      <xdr:rowOff>0</xdr:rowOff>
    </xdr:from>
    <xdr:to>
      <xdr:col>15</xdr:col>
      <xdr:colOff>0</xdr:colOff>
      <xdr:row>192</xdr:row>
      <xdr:rowOff>0</xdr:rowOff>
    </xdr:to>
    <xdr:cxnSp macro="">
      <xdr:nvCxnSpPr>
        <xdr:cNvPr id="1073" name="OpenSolver83">
          <a:extLst>
            <a:ext uri="{FF2B5EF4-FFF2-40B4-BE49-F238E27FC236}">
              <a16:creationId xmlns:a16="http://schemas.microsoft.com/office/drawing/2014/main" id="{D57804B0-9E84-4453-BA16-AE756BEDF82B}"/>
            </a:ext>
          </a:extLst>
        </xdr:cNvPr>
        <xdr:cNvCxnSpPr>
          <a:stCxn id="1071" idx="2"/>
          <a:endCxn id="1072" idx="0"/>
        </xdr:cNvCxnSpPr>
      </xdr:nvCxnSpPr>
      <xdr:spPr>
        <a:xfrm>
          <a:off x="11029950" y="35363150"/>
          <a:ext cx="0" cy="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558800</xdr:colOff>
      <xdr:row>191</xdr:row>
      <xdr:rowOff>57153</xdr:rowOff>
    </xdr:from>
    <xdr:to>
      <xdr:col>15</xdr:col>
      <xdr:colOff>190500</xdr:colOff>
      <xdr:row>192</xdr:row>
      <xdr:rowOff>127003</xdr:rowOff>
    </xdr:to>
    <xdr:sp macro="" textlink="">
      <xdr:nvSpPr>
        <xdr:cNvPr id="1074" name="OpenSolver84">
          <a:extLst>
            <a:ext uri="{FF2B5EF4-FFF2-40B4-BE49-F238E27FC236}">
              <a16:creationId xmlns:a16="http://schemas.microsoft.com/office/drawing/2014/main" id="{0AC48F76-5044-4AC3-BA02-1109CAD55999}"/>
            </a:ext>
          </a:extLst>
        </xdr:cNvPr>
        <xdr:cNvSpPr/>
      </xdr:nvSpPr>
      <xdr:spPr>
        <a:xfrm>
          <a:off x="10839450" y="35236153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228</xdr:row>
      <xdr:rowOff>0</xdr:rowOff>
    </xdr:from>
    <xdr:to>
      <xdr:col>27</xdr:col>
      <xdr:colOff>0</xdr:colOff>
      <xdr:row>229</xdr:row>
      <xdr:rowOff>0</xdr:rowOff>
    </xdr:to>
    <xdr:sp macro="" textlink="">
      <xdr:nvSpPr>
        <xdr:cNvPr id="1075" name="OpenSolver85">
          <a:extLst>
            <a:ext uri="{FF2B5EF4-FFF2-40B4-BE49-F238E27FC236}">
              <a16:creationId xmlns:a16="http://schemas.microsoft.com/office/drawing/2014/main" id="{D142B297-6361-49E5-A13C-CFB95944D818}"/>
            </a:ext>
          </a:extLst>
        </xdr:cNvPr>
        <xdr:cNvSpPr/>
      </xdr:nvSpPr>
      <xdr:spPr>
        <a:xfrm>
          <a:off x="2038350" y="41992550"/>
          <a:ext cx="17983200" cy="1841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3</xdr:col>
      <xdr:colOff>0</xdr:colOff>
      <xdr:row>300</xdr:row>
      <xdr:rowOff>0</xdr:rowOff>
    </xdr:from>
    <xdr:to>
      <xdr:col>27</xdr:col>
      <xdr:colOff>0</xdr:colOff>
      <xdr:row>301</xdr:row>
      <xdr:rowOff>0</xdr:rowOff>
    </xdr:to>
    <xdr:sp macro="" textlink="">
      <xdr:nvSpPr>
        <xdr:cNvPr id="1076" name="OpenSolver86">
          <a:extLst>
            <a:ext uri="{FF2B5EF4-FFF2-40B4-BE49-F238E27FC236}">
              <a16:creationId xmlns:a16="http://schemas.microsoft.com/office/drawing/2014/main" id="{3AF27EE7-1ADC-4834-B0BF-8BE146449F6F}"/>
            </a:ext>
          </a:extLst>
        </xdr:cNvPr>
        <xdr:cNvSpPr/>
      </xdr:nvSpPr>
      <xdr:spPr>
        <a:xfrm>
          <a:off x="2038350" y="55251350"/>
          <a:ext cx="17983200" cy="1841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15</xdr:col>
      <xdr:colOff>0</xdr:colOff>
      <xdr:row>229</xdr:row>
      <xdr:rowOff>0</xdr:rowOff>
    </xdr:from>
    <xdr:to>
      <xdr:col>15</xdr:col>
      <xdr:colOff>0</xdr:colOff>
      <xdr:row>300</xdr:row>
      <xdr:rowOff>0</xdr:rowOff>
    </xdr:to>
    <xdr:cxnSp macro="">
      <xdr:nvCxnSpPr>
        <xdr:cNvPr id="1077" name="OpenSolver87">
          <a:extLst>
            <a:ext uri="{FF2B5EF4-FFF2-40B4-BE49-F238E27FC236}">
              <a16:creationId xmlns:a16="http://schemas.microsoft.com/office/drawing/2014/main" id="{E67AB84B-A5B8-4285-AA21-60742731F6DE}"/>
            </a:ext>
          </a:extLst>
        </xdr:cNvPr>
        <xdr:cNvCxnSpPr>
          <a:stCxn id="1075" idx="2"/>
          <a:endCxn id="1076" idx="0"/>
        </xdr:cNvCxnSpPr>
      </xdr:nvCxnSpPr>
      <xdr:spPr>
        <a:xfrm>
          <a:off x="11029950" y="42176700"/>
          <a:ext cx="0" cy="1307465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558800</xdr:colOff>
      <xdr:row>263</xdr:row>
      <xdr:rowOff>149225</xdr:rowOff>
    </xdr:from>
    <xdr:to>
      <xdr:col>15</xdr:col>
      <xdr:colOff>190500</xdr:colOff>
      <xdr:row>265</xdr:row>
      <xdr:rowOff>34925</xdr:rowOff>
    </xdr:to>
    <xdr:sp macro="" textlink="">
      <xdr:nvSpPr>
        <xdr:cNvPr id="1078" name="OpenSolver88">
          <a:extLst>
            <a:ext uri="{FF2B5EF4-FFF2-40B4-BE49-F238E27FC236}">
              <a16:creationId xmlns:a16="http://schemas.microsoft.com/office/drawing/2014/main" id="{4F465180-A182-4DD7-9276-00AACB33E531}"/>
            </a:ext>
          </a:extLst>
        </xdr:cNvPr>
        <xdr:cNvSpPr/>
      </xdr:nvSpPr>
      <xdr:spPr>
        <a:xfrm>
          <a:off x="10839450" y="485870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229</xdr:row>
      <xdr:rowOff>0</xdr:rowOff>
    </xdr:from>
    <xdr:to>
      <xdr:col>27</xdr:col>
      <xdr:colOff>0</xdr:colOff>
      <xdr:row>230</xdr:row>
      <xdr:rowOff>0</xdr:rowOff>
    </xdr:to>
    <xdr:sp macro="" textlink="">
      <xdr:nvSpPr>
        <xdr:cNvPr id="1079" name="OpenSolver89">
          <a:extLst>
            <a:ext uri="{FF2B5EF4-FFF2-40B4-BE49-F238E27FC236}">
              <a16:creationId xmlns:a16="http://schemas.microsoft.com/office/drawing/2014/main" id="{48DC00F0-08AE-4450-880B-C66B97300DED}"/>
            </a:ext>
          </a:extLst>
        </xdr:cNvPr>
        <xdr:cNvSpPr/>
      </xdr:nvSpPr>
      <xdr:spPr>
        <a:xfrm>
          <a:off x="2038350" y="42176700"/>
          <a:ext cx="17983200" cy="1841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3</xdr:col>
      <xdr:colOff>12700</xdr:colOff>
      <xdr:row>300</xdr:row>
      <xdr:rowOff>12700</xdr:rowOff>
    </xdr:from>
    <xdr:to>
      <xdr:col>27</xdr:col>
      <xdr:colOff>0</xdr:colOff>
      <xdr:row>301</xdr:row>
      <xdr:rowOff>0</xdr:rowOff>
    </xdr:to>
    <xdr:sp macro="" textlink="">
      <xdr:nvSpPr>
        <xdr:cNvPr id="1080" name="OpenSolver90">
          <a:extLst>
            <a:ext uri="{FF2B5EF4-FFF2-40B4-BE49-F238E27FC236}">
              <a16:creationId xmlns:a16="http://schemas.microsoft.com/office/drawing/2014/main" id="{814E2DB5-30B5-44E5-8139-ED63C7857AD1}"/>
            </a:ext>
          </a:extLst>
        </xdr:cNvPr>
        <xdr:cNvSpPr/>
      </xdr:nvSpPr>
      <xdr:spPr>
        <a:xfrm>
          <a:off x="2051050" y="55264050"/>
          <a:ext cx="17970500" cy="1714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15</xdr:col>
      <xdr:colOff>0</xdr:colOff>
      <xdr:row>230</xdr:row>
      <xdr:rowOff>0</xdr:rowOff>
    </xdr:from>
    <xdr:to>
      <xdr:col>15</xdr:col>
      <xdr:colOff>6350</xdr:colOff>
      <xdr:row>300</xdr:row>
      <xdr:rowOff>12700</xdr:rowOff>
    </xdr:to>
    <xdr:cxnSp macro="">
      <xdr:nvCxnSpPr>
        <xdr:cNvPr id="1081" name="OpenSolver91">
          <a:extLst>
            <a:ext uri="{FF2B5EF4-FFF2-40B4-BE49-F238E27FC236}">
              <a16:creationId xmlns:a16="http://schemas.microsoft.com/office/drawing/2014/main" id="{99400D78-60CA-4A98-B9AA-9EF504A49EA0}"/>
            </a:ext>
          </a:extLst>
        </xdr:cNvPr>
        <xdr:cNvCxnSpPr>
          <a:stCxn id="1079" idx="2"/>
          <a:endCxn id="1080" idx="0"/>
        </xdr:cNvCxnSpPr>
      </xdr:nvCxnSpPr>
      <xdr:spPr>
        <a:xfrm>
          <a:off x="11029950" y="42360850"/>
          <a:ext cx="6350" cy="1290320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561975</xdr:colOff>
      <xdr:row>264</xdr:row>
      <xdr:rowOff>63497</xdr:rowOff>
    </xdr:from>
    <xdr:to>
      <xdr:col>15</xdr:col>
      <xdr:colOff>193675</xdr:colOff>
      <xdr:row>265</xdr:row>
      <xdr:rowOff>133347</xdr:rowOff>
    </xdr:to>
    <xdr:sp macro="" textlink="">
      <xdr:nvSpPr>
        <xdr:cNvPr id="1082" name="OpenSolver92">
          <a:extLst>
            <a:ext uri="{FF2B5EF4-FFF2-40B4-BE49-F238E27FC236}">
              <a16:creationId xmlns:a16="http://schemas.microsoft.com/office/drawing/2014/main" id="{6207C51D-6C16-4EB4-82AD-C5C086FE8585}"/>
            </a:ext>
          </a:extLst>
        </xdr:cNvPr>
        <xdr:cNvSpPr/>
      </xdr:nvSpPr>
      <xdr:spPr>
        <a:xfrm>
          <a:off x="10842625" y="48685447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202</xdr:row>
      <xdr:rowOff>0</xdr:rowOff>
    </xdr:from>
    <xdr:to>
      <xdr:col>27</xdr:col>
      <xdr:colOff>0</xdr:colOff>
      <xdr:row>203</xdr:row>
      <xdr:rowOff>0</xdr:rowOff>
    </xdr:to>
    <xdr:sp macro="" textlink="">
      <xdr:nvSpPr>
        <xdr:cNvPr id="1083" name="OpenSolver93">
          <a:extLst>
            <a:ext uri="{FF2B5EF4-FFF2-40B4-BE49-F238E27FC236}">
              <a16:creationId xmlns:a16="http://schemas.microsoft.com/office/drawing/2014/main" id="{C74C9362-88EB-4023-B772-E61A4D9609CC}"/>
            </a:ext>
          </a:extLst>
        </xdr:cNvPr>
        <xdr:cNvSpPr/>
      </xdr:nvSpPr>
      <xdr:spPr>
        <a:xfrm>
          <a:off x="2038350" y="37204650"/>
          <a:ext cx="17983200" cy="18415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3</xdr:col>
      <xdr:colOff>0</xdr:colOff>
      <xdr:row>203</xdr:row>
      <xdr:rowOff>0</xdr:rowOff>
    </xdr:from>
    <xdr:to>
      <xdr:col>27</xdr:col>
      <xdr:colOff>0</xdr:colOff>
      <xdr:row>204</xdr:row>
      <xdr:rowOff>0</xdr:rowOff>
    </xdr:to>
    <xdr:sp macro="" textlink="">
      <xdr:nvSpPr>
        <xdr:cNvPr id="1084" name="OpenSolver94">
          <a:extLst>
            <a:ext uri="{FF2B5EF4-FFF2-40B4-BE49-F238E27FC236}">
              <a16:creationId xmlns:a16="http://schemas.microsoft.com/office/drawing/2014/main" id="{A54F6F01-C783-45EE-A171-31E8C8EFC7F6}"/>
            </a:ext>
          </a:extLst>
        </xdr:cNvPr>
        <xdr:cNvSpPr/>
      </xdr:nvSpPr>
      <xdr:spPr>
        <a:xfrm>
          <a:off x="2038350" y="37388800"/>
          <a:ext cx="17983200" cy="18415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9900CC"/>
              </a:solidFill>
            </a:rPr>
            <a:t>≥</a:t>
          </a:r>
        </a:p>
      </xdr:txBody>
    </xdr:sp>
    <xdr:clientData/>
  </xdr:twoCellAnchor>
  <xdr:twoCellAnchor>
    <xdr:from>
      <xdr:col>15</xdr:col>
      <xdr:colOff>0</xdr:colOff>
      <xdr:row>203</xdr:row>
      <xdr:rowOff>0</xdr:rowOff>
    </xdr:from>
    <xdr:to>
      <xdr:col>15</xdr:col>
      <xdr:colOff>0</xdr:colOff>
      <xdr:row>203</xdr:row>
      <xdr:rowOff>0</xdr:rowOff>
    </xdr:to>
    <xdr:cxnSp macro="">
      <xdr:nvCxnSpPr>
        <xdr:cNvPr id="1085" name="OpenSolver95">
          <a:extLst>
            <a:ext uri="{FF2B5EF4-FFF2-40B4-BE49-F238E27FC236}">
              <a16:creationId xmlns:a16="http://schemas.microsoft.com/office/drawing/2014/main" id="{5D9DF1F0-2234-4DF1-A6A6-0AC351E1FF5D}"/>
            </a:ext>
          </a:extLst>
        </xdr:cNvPr>
        <xdr:cNvCxnSpPr>
          <a:stCxn id="1083" idx="2"/>
          <a:endCxn id="1084" idx="0"/>
        </xdr:cNvCxnSpPr>
      </xdr:nvCxnSpPr>
      <xdr:spPr>
        <a:xfrm>
          <a:off x="11029950" y="37388800"/>
          <a:ext cx="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558800</xdr:colOff>
      <xdr:row>202</xdr:row>
      <xdr:rowOff>57150</xdr:rowOff>
    </xdr:from>
    <xdr:to>
      <xdr:col>15</xdr:col>
      <xdr:colOff>190500</xdr:colOff>
      <xdr:row>203</xdr:row>
      <xdr:rowOff>127000</xdr:rowOff>
    </xdr:to>
    <xdr:sp macro="" textlink="">
      <xdr:nvSpPr>
        <xdr:cNvPr id="1086" name="OpenSolver96">
          <a:extLst>
            <a:ext uri="{FF2B5EF4-FFF2-40B4-BE49-F238E27FC236}">
              <a16:creationId xmlns:a16="http://schemas.microsoft.com/office/drawing/2014/main" id="{DED7DF64-F06E-432F-A013-03F4C8932480}"/>
            </a:ext>
          </a:extLst>
        </xdr:cNvPr>
        <xdr:cNvSpPr/>
      </xdr:nvSpPr>
      <xdr:spPr>
        <a:xfrm>
          <a:off x="10839450" y="372618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235</xdr:row>
      <xdr:rowOff>0</xdr:rowOff>
    </xdr:from>
    <xdr:to>
      <xdr:col>27</xdr:col>
      <xdr:colOff>0</xdr:colOff>
      <xdr:row>236</xdr:row>
      <xdr:rowOff>0</xdr:rowOff>
    </xdr:to>
    <xdr:sp macro="" textlink="">
      <xdr:nvSpPr>
        <xdr:cNvPr id="1087" name="OpenSolver97">
          <a:extLst>
            <a:ext uri="{FF2B5EF4-FFF2-40B4-BE49-F238E27FC236}">
              <a16:creationId xmlns:a16="http://schemas.microsoft.com/office/drawing/2014/main" id="{5676E034-8E40-4870-8173-54EC3C503239}"/>
            </a:ext>
          </a:extLst>
        </xdr:cNvPr>
        <xdr:cNvSpPr/>
      </xdr:nvSpPr>
      <xdr:spPr>
        <a:xfrm>
          <a:off x="2038350" y="43281600"/>
          <a:ext cx="17983200" cy="18415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3</xdr:col>
      <xdr:colOff>0</xdr:colOff>
      <xdr:row>237</xdr:row>
      <xdr:rowOff>0</xdr:rowOff>
    </xdr:from>
    <xdr:to>
      <xdr:col>27</xdr:col>
      <xdr:colOff>0</xdr:colOff>
      <xdr:row>238</xdr:row>
      <xdr:rowOff>0</xdr:rowOff>
    </xdr:to>
    <xdr:sp macro="" textlink="">
      <xdr:nvSpPr>
        <xdr:cNvPr id="1088" name="OpenSolver98">
          <a:extLst>
            <a:ext uri="{FF2B5EF4-FFF2-40B4-BE49-F238E27FC236}">
              <a16:creationId xmlns:a16="http://schemas.microsoft.com/office/drawing/2014/main" id="{32126E52-771B-41C4-A464-AF9FBDE0C836}"/>
            </a:ext>
          </a:extLst>
        </xdr:cNvPr>
        <xdr:cNvSpPr/>
      </xdr:nvSpPr>
      <xdr:spPr>
        <a:xfrm>
          <a:off x="2038350" y="43649900"/>
          <a:ext cx="17983200" cy="18415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800000"/>
              </a:solidFill>
            </a:rPr>
            <a:t>≤</a:t>
          </a:r>
        </a:p>
      </xdr:txBody>
    </xdr:sp>
    <xdr:clientData/>
  </xdr:twoCellAnchor>
  <xdr:twoCellAnchor>
    <xdr:from>
      <xdr:col>15</xdr:col>
      <xdr:colOff>0</xdr:colOff>
      <xdr:row>236</xdr:row>
      <xdr:rowOff>0</xdr:rowOff>
    </xdr:from>
    <xdr:to>
      <xdr:col>15</xdr:col>
      <xdr:colOff>0</xdr:colOff>
      <xdr:row>237</xdr:row>
      <xdr:rowOff>0</xdr:rowOff>
    </xdr:to>
    <xdr:cxnSp macro="">
      <xdr:nvCxnSpPr>
        <xdr:cNvPr id="1089" name="OpenSolver99">
          <a:extLst>
            <a:ext uri="{FF2B5EF4-FFF2-40B4-BE49-F238E27FC236}">
              <a16:creationId xmlns:a16="http://schemas.microsoft.com/office/drawing/2014/main" id="{71F6A657-E586-4B05-A909-C10808285BA5}"/>
            </a:ext>
          </a:extLst>
        </xdr:cNvPr>
        <xdr:cNvCxnSpPr>
          <a:stCxn id="1087" idx="2"/>
          <a:endCxn id="1088" idx="0"/>
        </xdr:cNvCxnSpPr>
      </xdr:nvCxnSpPr>
      <xdr:spPr>
        <a:xfrm>
          <a:off x="11029950" y="43465750"/>
          <a:ext cx="0" cy="18415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558800</xdr:colOff>
      <xdr:row>235</xdr:row>
      <xdr:rowOff>149228</xdr:rowOff>
    </xdr:from>
    <xdr:to>
      <xdr:col>15</xdr:col>
      <xdr:colOff>190500</xdr:colOff>
      <xdr:row>237</xdr:row>
      <xdr:rowOff>34928</xdr:rowOff>
    </xdr:to>
    <xdr:sp macro="" textlink="">
      <xdr:nvSpPr>
        <xdr:cNvPr id="1090" name="OpenSolver100">
          <a:extLst>
            <a:ext uri="{FF2B5EF4-FFF2-40B4-BE49-F238E27FC236}">
              <a16:creationId xmlns:a16="http://schemas.microsoft.com/office/drawing/2014/main" id="{C130DD22-9ED5-41E3-B74F-5922550B684B}"/>
            </a:ext>
          </a:extLst>
        </xdr:cNvPr>
        <xdr:cNvSpPr/>
      </xdr:nvSpPr>
      <xdr:spPr>
        <a:xfrm>
          <a:off x="10839450" y="43430828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12700</xdr:colOff>
      <xdr:row>235</xdr:row>
      <xdr:rowOff>12700</xdr:rowOff>
    </xdr:from>
    <xdr:to>
      <xdr:col>27</xdr:col>
      <xdr:colOff>0</xdr:colOff>
      <xdr:row>236</xdr:row>
      <xdr:rowOff>0</xdr:rowOff>
    </xdr:to>
    <xdr:sp macro="" textlink="">
      <xdr:nvSpPr>
        <xdr:cNvPr id="1091" name="OpenSolver101">
          <a:extLst>
            <a:ext uri="{FF2B5EF4-FFF2-40B4-BE49-F238E27FC236}">
              <a16:creationId xmlns:a16="http://schemas.microsoft.com/office/drawing/2014/main" id="{EDE97188-486A-4B32-91F0-D8BCED38C17C}"/>
            </a:ext>
          </a:extLst>
        </xdr:cNvPr>
        <xdr:cNvSpPr/>
      </xdr:nvSpPr>
      <xdr:spPr>
        <a:xfrm>
          <a:off x="2051050" y="43294300"/>
          <a:ext cx="17970500" cy="17145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3</xdr:col>
      <xdr:colOff>0</xdr:colOff>
      <xdr:row>236</xdr:row>
      <xdr:rowOff>0</xdr:rowOff>
    </xdr:from>
    <xdr:to>
      <xdr:col>27</xdr:col>
      <xdr:colOff>0</xdr:colOff>
      <xdr:row>237</xdr:row>
      <xdr:rowOff>0</xdr:rowOff>
    </xdr:to>
    <xdr:sp macro="" textlink="">
      <xdr:nvSpPr>
        <xdr:cNvPr id="1092" name="OpenSolver102">
          <a:extLst>
            <a:ext uri="{FF2B5EF4-FFF2-40B4-BE49-F238E27FC236}">
              <a16:creationId xmlns:a16="http://schemas.microsoft.com/office/drawing/2014/main" id="{2E973A8C-A0B6-4ED5-BFB1-008C49730EE8}"/>
            </a:ext>
          </a:extLst>
        </xdr:cNvPr>
        <xdr:cNvSpPr/>
      </xdr:nvSpPr>
      <xdr:spPr>
        <a:xfrm>
          <a:off x="2038350" y="43465750"/>
          <a:ext cx="17983200" cy="18415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CC33"/>
              </a:solidFill>
            </a:rPr>
            <a:t>≥</a:t>
          </a:r>
        </a:p>
      </xdr:txBody>
    </xdr:sp>
    <xdr:clientData/>
  </xdr:twoCellAnchor>
  <xdr:twoCellAnchor>
    <xdr:from>
      <xdr:col>15</xdr:col>
      <xdr:colOff>0</xdr:colOff>
      <xdr:row>236</xdr:row>
      <xdr:rowOff>0</xdr:rowOff>
    </xdr:from>
    <xdr:to>
      <xdr:col>15</xdr:col>
      <xdr:colOff>6350</xdr:colOff>
      <xdr:row>236</xdr:row>
      <xdr:rowOff>0</xdr:rowOff>
    </xdr:to>
    <xdr:cxnSp macro="">
      <xdr:nvCxnSpPr>
        <xdr:cNvPr id="1093" name="OpenSolver103">
          <a:extLst>
            <a:ext uri="{FF2B5EF4-FFF2-40B4-BE49-F238E27FC236}">
              <a16:creationId xmlns:a16="http://schemas.microsoft.com/office/drawing/2014/main" id="{3E6A8BDD-A22B-4C2E-8F4F-6DE92D4E1CDB}"/>
            </a:ext>
          </a:extLst>
        </xdr:cNvPr>
        <xdr:cNvCxnSpPr>
          <a:stCxn id="1091" idx="2"/>
          <a:endCxn id="1092" idx="0"/>
        </xdr:cNvCxnSpPr>
      </xdr:nvCxnSpPr>
      <xdr:spPr>
        <a:xfrm flipH="1">
          <a:off x="11029950" y="43465750"/>
          <a:ext cx="6350" cy="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561975</xdr:colOff>
      <xdr:row>235</xdr:row>
      <xdr:rowOff>57153</xdr:rowOff>
    </xdr:from>
    <xdr:to>
      <xdr:col>15</xdr:col>
      <xdr:colOff>193675</xdr:colOff>
      <xdr:row>236</xdr:row>
      <xdr:rowOff>127003</xdr:rowOff>
    </xdr:to>
    <xdr:sp macro="" textlink="">
      <xdr:nvSpPr>
        <xdr:cNvPr id="1094" name="OpenSolver104">
          <a:extLst>
            <a:ext uri="{FF2B5EF4-FFF2-40B4-BE49-F238E27FC236}">
              <a16:creationId xmlns:a16="http://schemas.microsoft.com/office/drawing/2014/main" id="{EDB83F40-4E91-4BA1-B744-5B11F1A93841}"/>
            </a:ext>
          </a:extLst>
        </xdr:cNvPr>
        <xdr:cNvSpPr/>
      </xdr:nvSpPr>
      <xdr:spPr>
        <a:xfrm>
          <a:off x="10842625" y="43338753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212</xdr:row>
      <xdr:rowOff>0</xdr:rowOff>
    </xdr:from>
    <xdr:to>
      <xdr:col>27</xdr:col>
      <xdr:colOff>0</xdr:colOff>
      <xdr:row>213</xdr:row>
      <xdr:rowOff>0</xdr:rowOff>
    </xdr:to>
    <xdr:sp macro="" textlink="">
      <xdr:nvSpPr>
        <xdr:cNvPr id="1095" name="OpenSolver105">
          <a:extLst>
            <a:ext uri="{FF2B5EF4-FFF2-40B4-BE49-F238E27FC236}">
              <a16:creationId xmlns:a16="http://schemas.microsoft.com/office/drawing/2014/main" id="{C00F0FF4-ADAE-4F57-99CC-2EB76EDFBB09}"/>
            </a:ext>
          </a:extLst>
        </xdr:cNvPr>
        <xdr:cNvSpPr/>
      </xdr:nvSpPr>
      <xdr:spPr>
        <a:xfrm>
          <a:off x="2038350" y="39046150"/>
          <a:ext cx="17983200" cy="18415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3</xdr:col>
      <xdr:colOff>0</xdr:colOff>
      <xdr:row>295</xdr:row>
      <xdr:rowOff>0</xdr:rowOff>
    </xdr:from>
    <xdr:to>
      <xdr:col>27</xdr:col>
      <xdr:colOff>0</xdr:colOff>
      <xdr:row>296</xdr:row>
      <xdr:rowOff>0</xdr:rowOff>
    </xdr:to>
    <xdr:sp macro="" textlink="">
      <xdr:nvSpPr>
        <xdr:cNvPr id="1096" name="OpenSolver106">
          <a:extLst>
            <a:ext uri="{FF2B5EF4-FFF2-40B4-BE49-F238E27FC236}">
              <a16:creationId xmlns:a16="http://schemas.microsoft.com/office/drawing/2014/main" id="{6A92D0B1-0DC8-4F72-AEA1-EB10E55B1EE8}"/>
            </a:ext>
          </a:extLst>
        </xdr:cNvPr>
        <xdr:cNvSpPr/>
      </xdr:nvSpPr>
      <xdr:spPr>
        <a:xfrm>
          <a:off x="2038350" y="54330600"/>
          <a:ext cx="17983200" cy="18415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FF6600"/>
              </a:solidFill>
            </a:rPr>
            <a:t>≤</a:t>
          </a:r>
        </a:p>
      </xdr:txBody>
    </xdr:sp>
    <xdr:clientData/>
  </xdr:twoCellAnchor>
  <xdr:twoCellAnchor>
    <xdr:from>
      <xdr:col>15</xdr:col>
      <xdr:colOff>0</xdr:colOff>
      <xdr:row>213</xdr:row>
      <xdr:rowOff>0</xdr:rowOff>
    </xdr:from>
    <xdr:to>
      <xdr:col>15</xdr:col>
      <xdr:colOff>0</xdr:colOff>
      <xdr:row>295</xdr:row>
      <xdr:rowOff>0</xdr:rowOff>
    </xdr:to>
    <xdr:cxnSp macro="">
      <xdr:nvCxnSpPr>
        <xdr:cNvPr id="1097" name="OpenSolver107">
          <a:extLst>
            <a:ext uri="{FF2B5EF4-FFF2-40B4-BE49-F238E27FC236}">
              <a16:creationId xmlns:a16="http://schemas.microsoft.com/office/drawing/2014/main" id="{F258B1FD-802C-47FC-B108-F802D6FC923E}"/>
            </a:ext>
          </a:extLst>
        </xdr:cNvPr>
        <xdr:cNvCxnSpPr>
          <a:stCxn id="1095" idx="2"/>
          <a:endCxn id="1096" idx="0"/>
        </xdr:cNvCxnSpPr>
      </xdr:nvCxnSpPr>
      <xdr:spPr>
        <a:xfrm>
          <a:off x="11029950" y="39230300"/>
          <a:ext cx="0" cy="1510030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558800</xdr:colOff>
      <xdr:row>253</xdr:row>
      <xdr:rowOff>57150</xdr:rowOff>
    </xdr:from>
    <xdr:to>
      <xdr:col>15</xdr:col>
      <xdr:colOff>190500</xdr:colOff>
      <xdr:row>254</xdr:row>
      <xdr:rowOff>127000</xdr:rowOff>
    </xdr:to>
    <xdr:sp macro="" textlink="">
      <xdr:nvSpPr>
        <xdr:cNvPr id="1098" name="OpenSolver108">
          <a:extLst>
            <a:ext uri="{FF2B5EF4-FFF2-40B4-BE49-F238E27FC236}">
              <a16:creationId xmlns:a16="http://schemas.microsoft.com/office/drawing/2014/main" id="{DAD9CBA7-322F-4E07-89A5-089A4603C6C6}"/>
            </a:ext>
          </a:extLst>
        </xdr:cNvPr>
        <xdr:cNvSpPr/>
      </xdr:nvSpPr>
      <xdr:spPr>
        <a:xfrm>
          <a:off x="10839450" y="466534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160</xdr:row>
      <xdr:rowOff>0</xdr:rowOff>
    </xdr:from>
    <xdr:to>
      <xdr:col>27</xdr:col>
      <xdr:colOff>0</xdr:colOff>
      <xdr:row>161</xdr:row>
      <xdr:rowOff>0</xdr:rowOff>
    </xdr:to>
    <xdr:sp macro="" textlink="">
      <xdr:nvSpPr>
        <xdr:cNvPr id="1099" name="OpenSolver109">
          <a:extLst>
            <a:ext uri="{FF2B5EF4-FFF2-40B4-BE49-F238E27FC236}">
              <a16:creationId xmlns:a16="http://schemas.microsoft.com/office/drawing/2014/main" id="{4768BF33-717B-4396-AA34-2C845BF7E52D}"/>
            </a:ext>
          </a:extLst>
        </xdr:cNvPr>
        <xdr:cNvSpPr/>
      </xdr:nvSpPr>
      <xdr:spPr>
        <a:xfrm>
          <a:off x="2038350" y="29470350"/>
          <a:ext cx="17983200" cy="18415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3</xdr:col>
      <xdr:colOff>12700</xdr:colOff>
      <xdr:row>284</xdr:row>
      <xdr:rowOff>12700</xdr:rowOff>
    </xdr:from>
    <xdr:to>
      <xdr:col>27</xdr:col>
      <xdr:colOff>0</xdr:colOff>
      <xdr:row>285</xdr:row>
      <xdr:rowOff>0</xdr:rowOff>
    </xdr:to>
    <xdr:sp macro="" textlink="">
      <xdr:nvSpPr>
        <xdr:cNvPr id="1100" name="OpenSolver110">
          <a:extLst>
            <a:ext uri="{FF2B5EF4-FFF2-40B4-BE49-F238E27FC236}">
              <a16:creationId xmlns:a16="http://schemas.microsoft.com/office/drawing/2014/main" id="{C03AC4DC-B889-4883-ABD5-EBC8828101B7}"/>
            </a:ext>
          </a:extLst>
        </xdr:cNvPr>
        <xdr:cNvSpPr/>
      </xdr:nvSpPr>
      <xdr:spPr>
        <a:xfrm>
          <a:off x="2051050" y="52317650"/>
          <a:ext cx="17970500" cy="17145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CC0099"/>
              </a:solidFill>
            </a:rPr>
            <a:t>≤</a:t>
          </a:r>
        </a:p>
      </xdr:txBody>
    </xdr:sp>
    <xdr:clientData/>
  </xdr:twoCellAnchor>
  <xdr:twoCellAnchor>
    <xdr:from>
      <xdr:col>15</xdr:col>
      <xdr:colOff>0</xdr:colOff>
      <xdr:row>161</xdr:row>
      <xdr:rowOff>0</xdr:rowOff>
    </xdr:from>
    <xdr:to>
      <xdr:col>15</xdr:col>
      <xdr:colOff>6350</xdr:colOff>
      <xdr:row>284</xdr:row>
      <xdr:rowOff>12700</xdr:rowOff>
    </xdr:to>
    <xdr:cxnSp macro="">
      <xdr:nvCxnSpPr>
        <xdr:cNvPr id="1101" name="OpenSolver111">
          <a:extLst>
            <a:ext uri="{FF2B5EF4-FFF2-40B4-BE49-F238E27FC236}">
              <a16:creationId xmlns:a16="http://schemas.microsoft.com/office/drawing/2014/main" id="{1AE82B67-DAC1-4135-8ED3-60926D54801B}"/>
            </a:ext>
          </a:extLst>
        </xdr:cNvPr>
        <xdr:cNvCxnSpPr>
          <a:stCxn id="1099" idx="2"/>
          <a:endCxn id="1100" idx="0"/>
        </xdr:cNvCxnSpPr>
      </xdr:nvCxnSpPr>
      <xdr:spPr>
        <a:xfrm>
          <a:off x="11029950" y="29654500"/>
          <a:ext cx="6350" cy="2266315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561975</xdr:colOff>
      <xdr:row>221</xdr:row>
      <xdr:rowOff>155575</xdr:rowOff>
    </xdr:from>
    <xdr:to>
      <xdr:col>15</xdr:col>
      <xdr:colOff>193675</xdr:colOff>
      <xdr:row>223</xdr:row>
      <xdr:rowOff>41275</xdr:rowOff>
    </xdr:to>
    <xdr:sp macro="" textlink="">
      <xdr:nvSpPr>
        <xdr:cNvPr id="1102" name="OpenSolver112">
          <a:extLst>
            <a:ext uri="{FF2B5EF4-FFF2-40B4-BE49-F238E27FC236}">
              <a16:creationId xmlns:a16="http://schemas.microsoft.com/office/drawing/2014/main" id="{59725C45-7B56-47AE-A557-8FACD79412FA}"/>
            </a:ext>
          </a:extLst>
        </xdr:cNvPr>
        <xdr:cNvSpPr/>
      </xdr:nvSpPr>
      <xdr:spPr>
        <a:xfrm>
          <a:off x="10842625" y="4085907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59</xdr:row>
      <xdr:rowOff>0</xdr:rowOff>
    </xdr:from>
    <xdr:to>
      <xdr:col>27</xdr:col>
      <xdr:colOff>0</xdr:colOff>
      <xdr:row>60</xdr:row>
      <xdr:rowOff>0</xdr:rowOff>
    </xdr:to>
    <xdr:sp macro="" textlink="">
      <xdr:nvSpPr>
        <xdr:cNvPr id="1103" name="OpenSolver113">
          <a:extLst>
            <a:ext uri="{FF2B5EF4-FFF2-40B4-BE49-F238E27FC236}">
              <a16:creationId xmlns:a16="http://schemas.microsoft.com/office/drawing/2014/main" id="{ABDA2A6A-18E5-4CFE-B38B-01717F1D2BA7}"/>
            </a:ext>
          </a:extLst>
        </xdr:cNvPr>
        <xdr:cNvSpPr/>
      </xdr:nvSpPr>
      <xdr:spPr>
        <a:xfrm>
          <a:off x="2038350" y="10871200"/>
          <a:ext cx="17983200" cy="1841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3</xdr:col>
      <xdr:colOff>0</xdr:colOff>
      <xdr:row>267</xdr:row>
      <xdr:rowOff>0</xdr:rowOff>
    </xdr:from>
    <xdr:to>
      <xdr:col>27</xdr:col>
      <xdr:colOff>0</xdr:colOff>
      <xdr:row>268</xdr:row>
      <xdr:rowOff>0</xdr:rowOff>
    </xdr:to>
    <xdr:sp macro="" textlink="">
      <xdr:nvSpPr>
        <xdr:cNvPr id="1104" name="OpenSolver114">
          <a:extLst>
            <a:ext uri="{FF2B5EF4-FFF2-40B4-BE49-F238E27FC236}">
              <a16:creationId xmlns:a16="http://schemas.microsoft.com/office/drawing/2014/main" id="{12848349-7907-4070-A972-18AA13A63865}"/>
            </a:ext>
          </a:extLst>
        </xdr:cNvPr>
        <xdr:cNvSpPr/>
      </xdr:nvSpPr>
      <xdr:spPr>
        <a:xfrm>
          <a:off x="2038350" y="49174400"/>
          <a:ext cx="17983200" cy="1841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00FF"/>
              </a:solidFill>
            </a:rPr>
            <a:t>≥</a:t>
          </a:r>
        </a:p>
      </xdr:txBody>
    </xdr:sp>
    <xdr:clientData/>
  </xdr:twoCellAnchor>
  <xdr:twoCellAnchor>
    <xdr:from>
      <xdr:col>15</xdr:col>
      <xdr:colOff>0</xdr:colOff>
      <xdr:row>60</xdr:row>
      <xdr:rowOff>0</xdr:rowOff>
    </xdr:from>
    <xdr:to>
      <xdr:col>15</xdr:col>
      <xdr:colOff>0</xdr:colOff>
      <xdr:row>267</xdr:row>
      <xdr:rowOff>0</xdr:rowOff>
    </xdr:to>
    <xdr:cxnSp macro="">
      <xdr:nvCxnSpPr>
        <xdr:cNvPr id="1105" name="OpenSolver115">
          <a:extLst>
            <a:ext uri="{FF2B5EF4-FFF2-40B4-BE49-F238E27FC236}">
              <a16:creationId xmlns:a16="http://schemas.microsoft.com/office/drawing/2014/main" id="{745861D1-1F5F-41F1-A7D6-D73DE925CDC8}"/>
            </a:ext>
          </a:extLst>
        </xdr:cNvPr>
        <xdr:cNvCxnSpPr>
          <a:stCxn id="1103" idx="2"/>
          <a:endCxn id="1104" idx="0"/>
        </xdr:cNvCxnSpPr>
      </xdr:nvCxnSpPr>
      <xdr:spPr>
        <a:xfrm>
          <a:off x="11029950" y="11055350"/>
          <a:ext cx="0" cy="3811905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558800</xdr:colOff>
      <xdr:row>162</xdr:row>
      <xdr:rowOff>149225</xdr:rowOff>
    </xdr:from>
    <xdr:to>
      <xdr:col>15</xdr:col>
      <xdr:colOff>190500</xdr:colOff>
      <xdr:row>164</xdr:row>
      <xdr:rowOff>34925</xdr:rowOff>
    </xdr:to>
    <xdr:sp macro="" textlink="">
      <xdr:nvSpPr>
        <xdr:cNvPr id="1106" name="OpenSolver116">
          <a:extLst>
            <a:ext uri="{FF2B5EF4-FFF2-40B4-BE49-F238E27FC236}">
              <a16:creationId xmlns:a16="http://schemas.microsoft.com/office/drawing/2014/main" id="{7BF797C6-56F2-4193-AC7D-77C9CDFEB5B1}"/>
            </a:ext>
          </a:extLst>
        </xdr:cNvPr>
        <xdr:cNvSpPr/>
      </xdr:nvSpPr>
      <xdr:spPr>
        <a:xfrm>
          <a:off x="10839450" y="2998787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263</xdr:row>
      <xdr:rowOff>0</xdr:rowOff>
    </xdr:from>
    <xdr:to>
      <xdr:col>27</xdr:col>
      <xdr:colOff>0</xdr:colOff>
      <xdr:row>264</xdr:row>
      <xdr:rowOff>0</xdr:rowOff>
    </xdr:to>
    <xdr:sp macro="" textlink="">
      <xdr:nvSpPr>
        <xdr:cNvPr id="1107" name="OpenSolverD264:AA264">
          <a:extLst>
            <a:ext uri="{FF2B5EF4-FFF2-40B4-BE49-F238E27FC236}">
              <a16:creationId xmlns:a16="http://schemas.microsoft.com/office/drawing/2014/main" id="{DCFA80C3-29B3-46FA-B8A7-3101B48E9A0F}"/>
            </a:ext>
          </a:extLst>
        </xdr:cNvPr>
        <xdr:cNvSpPr/>
      </xdr:nvSpPr>
      <xdr:spPr>
        <a:xfrm>
          <a:off x="2038350" y="48437800"/>
          <a:ext cx="17983200" cy="1841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8000"/>
              </a:solidFill>
            </a:rPr>
            <a:t>5000≥</a:t>
          </a:r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27</xdr:col>
      <xdr:colOff>0</xdr:colOff>
      <xdr:row>26</xdr:row>
      <xdr:rowOff>0</xdr:rowOff>
    </xdr:to>
    <xdr:sp macro="" textlink="">
      <xdr:nvSpPr>
        <xdr:cNvPr id="1108" name="OpenSolver118">
          <a:extLst>
            <a:ext uri="{FF2B5EF4-FFF2-40B4-BE49-F238E27FC236}">
              <a16:creationId xmlns:a16="http://schemas.microsoft.com/office/drawing/2014/main" id="{74594B8F-4016-4B3F-AC49-96B0C2ABBD69}"/>
            </a:ext>
          </a:extLst>
        </xdr:cNvPr>
        <xdr:cNvSpPr/>
      </xdr:nvSpPr>
      <xdr:spPr>
        <a:xfrm>
          <a:off x="2038350" y="4610100"/>
          <a:ext cx="17983200" cy="18415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3</xdr:col>
      <xdr:colOff>0</xdr:colOff>
      <xdr:row>26</xdr:row>
      <xdr:rowOff>0</xdr:rowOff>
    </xdr:from>
    <xdr:to>
      <xdr:col>27</xdr:col>
      <xdr:colOff>0</xdr:colOff>
      <xdr:row>27</xdr:row>
      <xdr:rowOff>0</xdr:rowOff>
    </xdr:to>
    <xdr:sp macro="" textlink="">
      <xdr:nvSpPr>
        <xdr:cNvPr id="1109" name="OpenSolver119">
          <a:extLst>
            <a:ext uri="{FF2B5EF4-FFF2-40B4-BE49-F238E27FC236}">
              <a16:creationId xmlns:a16="http://schemas.microsoft.com/office/drawing/2014/main" id="{1728E947-9D98-46F1-9ECF-A8784A616863}"/>
            </a:ext>
          </a:extLst>
        </xdr:cNvPr>
        <xdr:cNvSpPr/>
      </xdr:nvSpPr>
      <xdr:spPr>
        <a:xfrm>
          <a:off x="2038350" y="4794250"/>
          <a:ext cx="17983200" cy="18415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9900CC"/>
              </a:solidFill>
            </a:rPr>
            <a:t>≥</a:t>
          </a:r>
        </a:p>
      </xdr:txBody>
    </xdr:sp>
    <xdr:clientData/>
  </xdr:twoCellAnchor>
  <xdr:twoCellAnchor>
    <xdr:from>
      <xdr:col>15</xdr:col>
      <xdr:colOff>0</xdr:colOff>
      <xdr:row>26</xdr:row>
      <xdr:rowOff>0</xdr:rowOff>
    </xdr:from>
    <xdr:to>
      <xdr:col>15</xdr:col>
      <xdr:colOff>0</xdr:colOff>
      <xdr:row>26</xdr:row>
      <xdr:rowOff>0</xdr:rowOff>
    </xdr:to>
    <xdr:cxnSp macro="">
      <xdr:nvCxnSpPr>
        <xdr:cNvPr id="1110" name="OpenSolver120">
          <a:extLst>
            <a:ext uri="{FF2B5EF4-FFF2-40B4-BE49-F238E27FC236}">
              <a16:creationId xmlns:a16="http://schemas.microsoft.com/office/drawing/2014/main" id="{371D49A0-C8FA-4B78-ABD6-9960A468BE99}"/>
            </a:ext>
          </a:extLst>
        </xdr:cNvPr>
        <xdr:cNvCxnSpPr>
          <a:stCxn id="1108" idx="2"/>
          <a:endCxn id="1109" idx="0"/>
        </xdr:cNvCxnSpPr>
      </xdr:nvCxnSpPr>
      <xdr:spPr>
        <a:xfrm>
          <a:off x="11029950" y="4794250"/>
          <a:ext cx="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558800</xdr:colOff>
      <xdr:row>25</xdr:row>
      <xdr:rowOff>57150</xdr:rowOff>
    </xdr:from>
    <xdr:to>
      <xdr:col>15</xdr:col>
      <xdr:colOff>190500</xdr:colOff>
      <xdr:row>26</xdr:row>
      <xdr:rowOff>127000</xdr:rowOff>
    </xdr:to>
    <xdr:sp macro="" textlink="">
      <xdr:nvSpPr>
        <xdr:cNvPr id="1111" name="OpenSolver121">
          <a:extLst>
            <a:ext uri="{FF2B5EF4-FFF2-40B4-BE49-F238E27FC236}">
              <a16:creationId xmlns:a16="http://schemas.microsoft.com/office/drawing/2014/main" id="{7CB4A1C6-CF81-47A7-B50B-6BE3D86750DD}"/>
            </a:ext>
          </a:extLst>
        </xdr:cNvPr>
        <xdr:cNvSpPr/>
      </xdr:nvSpPr>
      <xdr:spPr>
        <a:xfrm>
          <a:off x="10839450" y="46672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27</xdr:col>
      <xdr:colOff>0</xdr:colOff>
      <xdr:row>4</xdr:row>
      <xdr:rowOff>0</xdr:rowOff>
    </xdr:to>
    <xdr:sp macro="" textlink="">
      <xdr:nvSpPr>
        <xdr:cNvPr id="1112" name="OpenSolver122">
          <a:extLst>
            <a:ext uri="{FF2B5EF4-FFF2-40B4-BE49-F238E27FC236}">
              <a16:creationId xmlns:a16="http://schemas.microsoft.com/office/drawing/2014/main" id="{F02F6988-6D55-4E79-B54B-22E0BD812D02}"/>
            </a:ext>
          </a:extLst>
        </xdr:cNvPr>
        <xdr:cNvSpPr/>
      </xdr:nvSpPr>
      <xdr:spPr>
        <a:xfrm>
          <a:off x="2038350" y="552450"/>
          <a:ext cx="17983200" cy="18415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3</xdr:col>
      <xdr:colOff>0</xdr:colOff>
      <xdr:row>4</xdr:row>
      <xdr:rowOff>0</xdr:rowOff>
    </xdr:from>
    <xdr:to>
      <xdr:col>27</xdr:col>
      <xdr:colOff>0</xdr:colOff>
      <xdr:row>5</xdr:row>
      <xdr:rowOff>0</xdr:rowOff>
    </xdr:to>
    <xdr:sp macro="" textlink="">
      <xdr:nvSpPr>
        <xdr:cNvPr id="1113" name="OpenSolver123">
          <a:extLst>
            <a:ext uri="{FF2B5EF4-FFF2-40B4-BE49-F238E27FC236}">
              <a16:creationId xmlns:a16="http://schemas.microsoft.com/office/drawing/2014/main" id="{4B444DED-C9C2-4B00-8B71-6685C8628D46}"/>
            </a:ext>
          </a:extLst>
        </xdr:cNvPr>
        <xdr:cNvSpPr/>
      </xdr:nvSpPr>
      <xdr:spPr>
        <a:xfrm>
          <a:off x="2038350" y="736600"/>
          <a:ext cx="17983200" cy="18415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800000"/>
              </a:solidFill>
            </a:rPr>
            <a:t>≥</a:t>
          </a:r>
        </a:p>
      </xdr:txBody>
    </xdr:sp>
    <xdr:clientData/>
  </xdr:twoCellAnchor>
  <xdr:twoCellAnchor>
    <xdr:from>
      <xdr:col>15</xdr:col>
      <xdr:colOff>0</xdr:colOff>
      <xdr:row>4</xdr:row>
      <xdr:rowOff>0</xdr:rowOff>
    </xdr:from>
    <xdr:to>
      <xdr:col>15</xdr:col>
      <xdr:colOff>0</xdr:colOff>
      <xdr:row>4</xdr:row>
      <xdr:rowOff>0</xdr:rowOff>
    </xdr:to>
    <xdr:cxnSp macro="">
      <xdr:nvCxnSpPr>
        <xdr:cNvPr id="1114" name="OpenSolver124">
          <a:extLst>
            <a:ext uri="{FF2B5EF4-FFF2-40B4-BE49-F238E27FC236}">
              <a16:creationId xmlns:a16="http://schemas.microsoft.com/office/drawing/2014/main" id="{AA3881CE-92E6-4D93-9D33-7B186936CBE5}"/>
            </a:ext>
          </a:extLst>
        </xdr:cNvPr>
        <xdr:cNvCxnSpPr>
          <a:stCxn id="1112" idx="2"/>
          <a:endCxn id="1113" idx="0"/>
        </xdr:cNvCxnSpPr>
      </xdr:nvCxnSpPr>
      <xdr:spPr>
        <a:xfrm>
          <a:off x="11029950" y="736600"/>
          <a:ext cx="0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558800</xdr:colOff>
      <xdr:row>3</xdr:row>
      <xdr:rowOff>57150</xdr:rowOff>
    </xdr:from>
    <xdr:to>
      <xdr:col>15</xdr:col>
      <xdr:colOff>190500</xdr:colOff>
      <xdr:row>4</xdr:row>
      <xdr:rowOff>127000</xdr:rowOff>
    </xdr:to>
    <xdr:sp macro="" textlink="">
      <xdr:nvSpPr>
        <xdr:cNvPr id="1115" name="OpenSolver125">
          <a:extLst>
            <a:ext uri="{FF2B5EF4-FFF2-40B4-BE49-F238E27FC236}">
              <a16:creationId xmlns:a16="http://schemas.microsoft.com/office/drawing/2014/main" id="{13A31C81-7809-47FF-965A-0754B55440A7}"/>
            </a:ext>
          </a:extLst>
        </xdr:cNvPr>
        <xdr:cNvSpPr/>
      </xdr:nvSpPr>
      <xdr:spPr>
        <a:xfrm>
          <a:off x="10839450" y="6096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134</xdr:row>
      <xdr:rowOff>0</xdr:rowOff>
    </xdr:from>
    <xdr:to>
      <xdr:col>27</xdr:col>
      <xdr:colOff>0</xdr:colOff>
      <xdr:row>135</xdr:row>
      <xdr:rowOff>0</xdr:rowOff>
    </xdr:to>
    <xdr:sp macro="" textlink="">
      <xdr:nvSpPr>
        <xdr:cNvPr id="1116" name="OpenSolver126">
          <a:extLst>
            <a:ext uri="{FF2B5EF4-FFF2-40B4-BE49-F238E27FC236}">
              <a16:creationId xmlns:a16="http://schemas.microsoft.com/office/drawing/2014/main" id="{57DA7CFF-A568-49B5-8892-A9D4BF52DA11}"/>
            </a:ext>
          </a:extLst>
        </xdr:cNvPr>
        <xdr:cNvSpPr/>
      </xdr:nvSpPr>
      <xdr:spPr>
        <a:xfrm>
          <a:off x="2038350" y="24682450"/>
          <a:ext cx="17983200" cy="18415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3</xdr:col>
      <xdr:colOff>12700</xdr:colOff>
      <xdr:row>278</xdr:row>
      <xdr:rowOff>12700</xdr:rowOff>
    </xdr:from>
    <xdr:to>
      <xdr:col>27</xdr:col>
      <xdr:colOff>0</xdr:colOff>
      <xdr:row>279</xdr:row>
      <xdr:rowOff>0</xdr:rowOff>
    </xdr:to>
    <xdr:sp macro="" textlink="">
      <xdr:nvSpPr>
        <xdr:cNvPr id="1117" name="OpenSolver127">
          <a:extLst>
            <a:ext uri="{FF2B5EF4-FFF2-40B4-BE49-F238E27FC236}">
              <a16:creationId xmlns:a16="http://schemas.microsoft.com/office/drawing/2014/main" id="{5D259710-BFDA-4E57-9447-B8DCE157F077}"/>
            </a:ext>
          </a:extLst>
        </xdr:cNvPr>
        <xdr:cNvSpPr/>
      </xdr:nvSpPr>
      <xdr:spPr>
        <a:xfrm>
          <a:off x="2051050" y="51212750"/>
          <a:ext cx="17970500" cy="17145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CC33"/>
              </a:solidFill>
            </a:rPr>
            <a:t>≤</a:t>
          </a:r>
        </a:p>
      </xdr:txBody>
    </xdr:sp>
    <xdr:clientData/>
  </xdr:twoCellAnchor>
  <xdr:twoCellAnchor>
    <xdr:from>
      <xdr:col>15</xdr:col>
      <xdr:colOff>0</xdr:colOff>
      <xdr:row>135</xdr:row>
      <xdr:rowOff>0</xdr:rowOff>
    </xdr:from>
    <xdr:to>
      <xdr:col>15</xdr:col>
      <xdr:colOff>6350</xdr:colOff>
      <xdr:row>278</xdr:row>
      <xdr:rowOff>12700</xdr:rowOff>
    </xdr:to>
    <xdr:cxnSp macro="">
      <xdr:nvCxnSpPr>
        <xdr:cNvPr id="1118" name="OpenSolver128">
          <a:extLst>
            <a:ext uri="{FF2B5EF4-FFF2-40B4-BE49-F238E27FC236}">
              <a16:creationId xmlns:a16="http://schemas.microsoft.com/office/drawing/2014/main" id="{9933D184-4545-4A90-822D-F6A0C16FD610}"/>
            </a:ext>
          </a:extLst>
        </xdr:cNvPr>
        <xdr:cNvCxnSpPr>
          <a:stCxn id="1116" idx="2"/>
          <a:endCxn id="1117" idx="0"/>
        </xdr:cNvCxnSpPr>
      </xdr:nvCxnSpPr>
      <xdr:spPr>
        <a:xfrm>
          <a:off x="11029950" y="24866600"/>
          <a:ext cx="6350" cy="2634615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561975</xdr:colOff>
      <xdr:row>205</xdr:row>
      <xdr:rowOff>155575</xdr:rowOff>
    </xdr:from>
    <xdr:to>
      <xdr:col>15</xdr:col>
      <xdr:colOff>193675</xdr:colOff>
      <xdr:row>207</xdr:row>
      <xdr:rowOff>41275</xdr:rowOff>
    </xdr:to>
    <xdr:sp macro="" textlink="">
      <xdr:nvSpPr>
        <xdr:cNvPr id="1119" name="OpenSolver129">
          <a:extLst>
            <a:ext uri="{FF2B5EF4-FFF2-40B4-BE49-F238E27FC236}">
              <a16:creationId xmlns:a16="http://schemas.microsoft.com/office/drawing/2014/main" id="{E2BE1164-BC27-433F-8656-F5452E4C7200}"/>
            </a:ext>
          </a:extLst>
        </xdr:cNvPr>
        <xdr:cNvSpPr/>
      </xdr:nvSpPr>
      <xdr:spPr>
        <a:xfrm>
          <a:off x="10842625" y="3791267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0</xdr:colOff>
      <xdr:row>96</xdr:row>
      <xdr:rowOff>0</xdr:rowOff>
    </xdr:from>
    <xdr:to>
      <xdr:col>27</xdr:col>
      <xdr:colOff>0</xdr:colOff>
      <xdr:row>97</xdr:row>
      <xdr:rowOff>0</xdr:rowOff>
    </xdr:to>
    <xdr:sp macro="" textlink="">
      <xdr:nvSpPr>
        <xdr:cNvPr id="1120" name="OpenSolver130">
          <a:extLst>
            <a:ext uri="{FF2B5EF4-FFF2-40B4-BE49-F238E27FC236}">
              <a16:creationId xmlns:a16="http://schemas.microsoft.com/office/drawing/2014/main" id="{9F73C856-528C-417F-9E7F-651342D140B6}"/>
            </a:ext>
          </a:extLst>
        </xdr:cNvPr>
        <xdr:cNvSpPr/>
      </xdr:nvSpPr>
      <xdr:spPr>
        <a:xfrm>
          <a:off x="2787650" y="17684750"/>
          <a:ext cx="17233900" cy="18415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4</xdr:col>
      <xdr:colOff>0</xdr:colOff>
      <xdr:row>272</xdr:row>
      <xdr:rowOff>0</xdr:rowOff>
    </xdr:from>
    <xdr:to>
      <xdr:col>27</xdr:col>
      <xdr:colOff>0</xdr:colOff>
      <xdr:row>273</xdr:row>
      <xdr:rowOff>0</xdr:rowOff>
    </xdr:to>
    <xdr:sp macro="" textlink="">
      <xdr:nvSpPr>
        <xdr:cNvPr id="1121" name="OpenSolver131">
          <a:extLst>
            <a:ext uri="{FF2B5EF4-FFF2-40B4-BE49-F238E27FC236}">
              <a16:creationId xmlns:a16="http://schemas.microsoft.com/office/drawing/2014/main" id="{EFF3FC4F-9D72-454E-818B-2D1F08F851E9}"/>
            </a:ext>
          </a:extLst>
        </xdr:cNvPr>
        <xdr:cNvSpPr/>
      </xdr:nvSpPr>
      <xdr:spPr>
        <a:xfrm>
          <a:off x="2787650" y="50095150"/>
          <a:ext cx="17233900" cy="18415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FF6600"/>
              </a:solidFill>
            </a:rPr>
            <a:t>≤</a:t>
          </a:r>
        </a:p>
      </xdr:txBody>
    </xdr:sp>
    <xdr:clientData/>
  </xdr:twoCellAnchor>
  <xdr:twoCellAnchor>
    <xdr:from>
      <xdr:col>15</xdr:col>
      <xdr:colOff>374650</xdr:colOff>
      <xdr:row>97</xdr:row>
      <xdr:rowOff>0</xdr:rowOff>
    </xdr:from>
    <xdr:to>
      <xdr:col>15</xdr:col>
      <xdr:colOff>374650</xdr:colOff>
      <xdr:row>272</xdr:row>
      <xdr:rowOff>0</xdr:rowOff>
    </xdr:to>
    <xdr:cxnSp macro="">
      <xdr:nvCxnSpPr>
        <xdr:cNvPr id="1122" name="OpenSolver132">
          <a:extLst>
            <a:ext uri="{FF2B5EF4-FFF2-40B4-BE49-F238E27FC236}">
              <a16:creationId xmlns:a16="http://schemas.microsoft.com/office/drawing/2014/main" id="{883CDCA7-839A-4C68-98FA-451504BC5823}"/>
            </a:ext>
          </a:extLst>
        </xdr:cNvPr>
        <xdr:cNvCxnSpPr>
          <a:stCxn id="1120" idx="2"/>
          <a:endCxn id="1121" idx="0"/>
        </xdr:cNvCxnSpPr>
      </xdr:nvCxnSpPr>
      <xdr:spPr>
        <a:xfrm>
          <a:off x="11404600" y="17868900"/>
          <a:ext cx="0" cy="3222625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184150</xdr:colOff>
      <xdr:row>183</xdr:row>
      <xdr:rowOff>149225</xdr:rowOff>
    </xdr:from>
    <xdr:to>
      <xdr:col>15</xdr:col>
      <xdr:colOff>565150</xdr:colOff>
      <xdr:row>185</xdr:row>
      <xdr:rowOff>34925</xdr:rowOff>
    </xdr:to>
    <xdr:sp macro="" textlink="">
      <xdr:nvSpPr>
        <xdr:cNvPr id="1123" name="OpenSolver133">
          <a:extLst>
            <a:ext uri="{FF2B5EF4-FFF2-40B4-BE49-F238E27FC236}">
              <a16:creationId xmlns:a16="http://schemas.microsoft.com/office/drawing/2014/main" id="{77918271-F9A4-4F69-BF31-4D368671D69C}"/>
            </a:ext>
          </a:extLst>
        </xdr:cNvPr>
        <xdr:cNvSpPr/>
      </xdr:nvSpPr>
      <xdr:spPr>
        <a:xfrm>
          <a:off x="11214100" y="338550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72</xdr:row>
      <xdr:rowOff>0</xdr:rowOff>
    </xdr:from>
    <xdr:to>
      <xdr:col>27</xdr:col>
      <xdr:colOff>0</xdr:colOff>
      <xdr:row>73</xdr:row>
      <xdr:rowOff>0</xdr:rowOff>
    </xdr:to>
    <xdr:sp macro="" textlink="">
      <xdr:nvSpPr>
        <xdr:cNvPr id="1124" name="OpenSolver134">
          <a:extLst>
            <a:ext uri="{FF2B5EF4-FFF2-40B4-BE49-F238E27FC236}">
              <a16:creationId xmlns:a16="http://schemas.microsoft.com/office/drawing/2014/main" id="{FA3554E5-4B1E-4BF0-BB22-D8F6BEBEE316}"/>
            </a:ext>
          </a:extLst>
        </xdr:cNvPr>
        <xdr:cNvSpPr/>
      </xdr:nvSpPr>
      <xdr:spPr>
        <a:xfrm>
          <a:off x="2038350" y="13265150"/>
          <a:ext cx="17983200" cy="18415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3</xdr:col>
      <xdr:colOff>0</xdr:colOff>
      <xdr:row>269</xdr:row>
      <xdr:rowOff>0</xdr:rowOff>
    </xdr:from>
    <xdr:to>
      <xdr:col>27</xdr:col>
      <xdr:colOff>0</xdr:colOff>
      <xdr:row>270</xdr:row>
      <xdr:rowOff>0</xdr:rowOff>
    </xdr:to>
    <xdr:sp macro="" textlink="">
      <xdr:nvSpPr>
        <xdr:cNvPr id="1125" name="OpenSolver135">
          <a:extLst>
            <a:ext uri="{FF2B5EF4-FFF2-40B4-BE49-F238E27FC236}">
              <a16:creationId xmlns:a16="http://schemas.microsoft.com/office/drawing/2014/main" id="{201E1239-5DAF-4C24-ABF7-4DD3BBC86184}"/>
            </a:ext>
          </a:extLst>
        </xdr:cNvPr>
        <xdr:cNvSpPr/>
      </xdr:nvSpPr>
      <xdr:spPr>
        <a:xfrm>
          <a:off x="2038350" y="49542700"/>
          <a:ext cx="17983200" cy="18415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CC0099"/>
              </a:solidFill>
            </a:rPr>
            <a:t>≥</a:t>
          </a:r>
        </a:p>
      </xdr:txBody>
    </xdr:sp>
    <xdr:clientData/>
  </xdr:twoCellAnchor>
  <xdr:twoCellAnchor>
    <xdr:from>
      <xdr:col>15</xdr:col>
      <xdr:colOff>0</xdr:colOff>
      <xdr:row>73</xdr:row>
      <xdr:rowOff>0</xdr:rowOff>
    </xdr:from>
    <xdr:to>
      <xdr:col>15</xdr:col>
      <xdr:colOff>0</xdr:colOff>
      <xdr:row>269</xdr:row>
      <xdr:rowOff>0</xdr:rowOff>
    </xdr:to>
    <xdr:cxnSp macro="">
      <xdr:nvCxnSpPr>
        <xdr:cNvPr id="1126" name="OpenSolver136">
          <a:extLst>
            <a:ext uri="{FF2B5EF4-FFF2-40B4-BE49-F238E27FC236}">
              <a16:creationId xmlns:a16="http://schemas.microsoft.com/office/drawing/2014/main" id="{E00D080D-B112-4065-822F-7D210418F416}"/>
            </a:ext>
          </a:extLst>
        </xdr:cNvPr>
        <xdr:cNvCxnSpPr>
          <a:stCxn id="1124" idx="2"/>
          <a:endCxn id="1125" idx="0"/>
        </xdr:cNvCxnSpPr>
      </xdr:nvCxnSpPr>
      <xdr:spPr>
        <a:xfrm>
          <a:off x="11029950" y="13449300"/>
          <a:ext cx="0" cy="3609340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558800</xdr:colOff>
      <xdr:row>170</xdr:row>
      <xdr:rowOff>57150</xdr:rowOff>
    </xdr:from>
    <xdr:to>
      <xdr:col>15</xdr:col>
      <xdr:colOff>190500</xdr:colOff>
      <xdr:row>171</xdr:row>
      <xdr:rowOff>127000</xdr:rowOff>
    </xdr:to>
    <xdr:sp macro="" textlink="">
      <xdr:nvSpPr>
        <xdr:cNvPr id="1127" name="OpenSolver137">
          <a:extLst>
            <a:ext uri="{FF2B5EF4-FFF2-40B4-BE49-F238E27FC236}">
              <a16:creationId xmlns:a16="http://schemas.microsoft.com/office/drawing/2014/main" id="{03D44ABD-8469-4DC5-AF62-822DE97AD078}"/>
            </a:ext>
          </a:extLst>
        </xdr:cNvPr>
        <xdr:cNvSpPr/>
      </xdr:nvSpPr>
      <xdr:spPr>
        <a:xfrm>
          <a:off x="10839450" y="313690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136</xdr:row>
      <xdr:rowOff>0</xdr:rowOff>
    </xdr:from>
    <xdr:to>
      <xdr:col>4</xdr:col>
      <xdr:colOff>0</xdr:colOff>
      <xdr:row>137</xdr:row>
      <xdr:rowOff>0</xdr:rowOff>
    </xdr:to>
    <xdr:sp macro="" textlink="">
      <xdr:nvSpPr>
        <xdr:cNvPr id="1128" name="OpenSolver138">
          <a:extLst>
            <a:ext uri="{FF2B5EF4-FFF2-40B4-BE49-F238E27FC236}">
              <a16:creationId xmlns:a16="http://schemas.microsoft.com/office/drawing/2014/main" id="{2532FEAA-F45C-4BD4-B6B6-651539615E88}"/>
            </a:ext>
          </a:extLst>
        </xdr:cNvPr>
        <xdr:cNvSpPr/>
      </xdr:nvSpPr>
      <xdr:spPr>
        <a:xfrm>
          <a:off x="2038350" y="25050750"/>
          <a:ext cx="749300" cy="1841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6</xdr:col>
      <xdr:colOff>0</xdr:colOff>
      <xdr:row>136</xdr:row>
      <xdr:rowOff>0</xdr:rowOff>
    </xdr:from>
    <xdr:to>
      <xdr:col>7</xdr:col>
      <xdr:colOff>0</xdr:colOff>
      <xdr:row>137</xdr:row>
      <xdr:rowOff>0</xdr:rowOff>
    </xdr:to>
    <xdr:sp macro="" textlink="">
      <xdr:nvSpPr>
        <xdr:cNvPr id="1129" name="OpenSolver139">
          <a:extLst>
            <a:ext uri="{FF2B5EF4-FFF2-40B4-BE49-F238E27FC236}">
              <a16:creationId xmlns:a16="http://schemas.microsoft.com/office/drawing/2014/main" id="{65311E3B-758E-4374-8CCC-1E7DC08AA84B}"/>
            </a:ext>
          </a:extLst>
        </xdr:cNvPr>
        <xdr:cNvSpPr/>
      </xdr:nvSpPr>
      <xdr:spPr>
        <a:xfrm>
          <a:off x="4286250" y="25050750"/>
          <a:ext cx="749300" cy="1841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00FF"/>
              </a:solidFill>
            </a:rPr>
            <a:t>≥</a:t>
          </a:r>
        </a:p>
      </xdr:txBody>
    </xdr:sp>
    <xdr:clientData/>
  </xdr:twoCellAnchor>
  <xdr:twoCellAnchor>
    <xdr:from>
      <xdr:col>4</xdr:col>
      <xdr:colOff>0</xdr:colOff>
      <xdr:row>136</xdr:row>
      <xdr:rowOff>92075</xdr:rowOff>
    </xdr:from>
    <xdr:to>
      <xdr:col>6</xdr:col>
      <xdr:colOff>0</xdr:colOff>
      <xdr:row>136</xdr:row>
      <xdr:rowOff>92075</xdr:rowOff>
    </xdr:to>
    <xdr:cxnSp macro="">
      <xdr:nvCxnSpPr>
        <xdr:cNvPr id="1130" name="OpenSolver140">
          <a:extLst>
            <a:ext uri="{FF2B5EF4-FFF2-40B4-BE49-F238E27FC236}">
              <a16:creationId xmlns:a16="http://schemas.microsoft.com/office/drawing/2014/main" id="{C383A857-F67F-43CA-9D9E-E41ABA137110}"/>
            </a:ext>
          </a:extLst>
        </xdr:cNvPr>
        <xdr:cNvCxnSpPr>
          <a:stCxn id="1128" idx="3"/>
          <a:endCxn id="1129" idx="1"/>
        </xdr:cNvCxnSpPr>
      </xdr:nvCxnSpPr>
      <xdr:spPr>
        <a:xfrm>
          <a:off x="2787650" y="25142825"/>
          <a:ext cx="149860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558800</xdr:colOff>
      <xdr:row>135</xdr:row>
      <xdr:rowOff>149223</xdr:rowOff>
    </xdr:from>
    <xdr:to>
      <xdr:col>5</xdr:col>
      <xdr:colOff>190500</xdr:colOff>
      <xdr:row>137</xdr:row>
      <xdr:rowOff>34923</xdr:rowOff>
    </xdr:to>
    <xdr:sp macro="" textlink="">
      <xdr:nvSpPr>
        <xdr:cNvPr id="1131" name="OpenSolver141">
          <a:extLst>
            <a:ext uri="{FF2B5EF4-FFF2-40B4-BE49-F238E27FC236}">
              <a16:creationId xmlns:a16="http://schemas.microsoft.com/office/drawing/2014/main" id="{BC7E3AB4-3B19-4DF3-84B0-56B7F7C6B2AC}"/>
            </a:ext>
          </a:extLst>
        </xdr:cNvPr>
        <xdr:cNvSpPr/>
      </xdr:nvSpPr>
      <xdr:spPr>
        <a:xfrm>
          <a:off x="3346450" y="25015823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138</xdr:row>
      <xdr:rowOff>0</xdr:rowOff>
    </xdr:from>
    <xdr:to>
      <xdr:col>27</xdr:col>
      <xdr:colOff>0</xdr:colOff>
      <xdr:row>139</xdr:row>
      <xdr:rowOff>0</xdr:rowOff>
    </xdr:to>
    <xdr:sp macro="" textlink="">
      <xdr:nvSpPr>
        <xdr:cNvPr id="1132" name="OpenSolverD139:AA139">
          <a:extLst>
            <a:ext uri="{FF2B5EF4-FFF2-40B4-BE49-F238E27FC236}">
              <a16:creationId xmlns:a16="http://schemas.microsoft.com/office/drawing/2014/main" id="{69BF9ACE-CF38-46E8-BA39-D9A0E5E91926}"/>
            </a:ext>
          </a:extLst>
        </xdr:cNvPr>
        <xdr:cNvSpPr/>
      </xdr:nvSpPr>
      <xdr:spPr>
        <a:xfrm>
          <a:off x="2038350" y="25419050"/>
          <a:ext cx="17983200" cy="1841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8000"/>
              </a:solidFill>
            </a:rPr>
            <a:t>33500≥</a:t>
          </a:r>
        </a:p>
      </xdr:txBody>
    </xdr:sp>
    <xdr:clientData/>
  </xdr:twoCellAnchor>
  <xdr:twoCellAnchor>
    <xdr:from>
      <xdr:col>3</xdr:col>
      <xdr:colOff>12700</xdr:colOff>
      <xdr:row>148</xdr:row>
      <xdr:rowOff>12700</xdr:rowOff>
    </xdr:from>
    <xdr:to>
      <xdr:col>27</xdr:col>
      <xdr:colOff>0</xdr:colOff>
      <xdr:row>149</xdr:row>
      <xdr:rowOff>0</xdr:rowOff>
    </xdr:to>
    <xdr:sp macro="" textlink="">
      <xdr:nvSpPr>
        <xdr:cNvPr id="1133" name="OpenSolver143">
          <a:extLst>
            <a:ext uri="{FF2B5EF4-FFF2-40B4-BE49-F238E27FC236}">
              <a16:creationId xmlns:a16="http://schemas.microsoft.com/office/drawing/2014/main" id="{4EA137FF-E225-4C30-B585-0B63FAAD635E}"/>
            </a:ext>
          </a:extLst>
        </xdr:cNvPr>
        <xdr:cNvSpPr/>
      </xdr:nvSpPr>
      <xdr:spPr>
        <a:xfrm>
          <a:off x="2051050" y="27273250"/>
          <a:ext cx="17970500" cy="17145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3</xdr:col>
      <xdr:colOff>0</xdr:colOff>
      <xdr:row>149</xdr:row>
      <xdr:rowOff>0</xdr:rowOff>
    </xdr:from>
    <xdr:to>
      <xdr:col>27</xdr:col>
      <xdr:colOff>0</xdr:colOff>
      <xdr:row>150</xdr:row>
      <xdr:rowOff>0</xdr:rowOff>
    </xdr:to>
    <xdr:sp macro="" textlink="">
      <xdr:nvSpPr>
        <xdr:cNvPr id="1134" name="OpenSolver144">
          <a:extLst>
            <a:ext uri="{FF2B5EF4-FFF2-40B4-BE49-F238E27FC236}">
              <a16:creationId xmlns:a16="http://schemas.microsoft.com/office/drawing/2014/main" id="{7BE5ADD4-434D-4D80-8279-AFD3F5AA7DB1}"/>
            </a:ext>
          </a:extLst>
        </xdr:cNvPr>
        <xdr:cNvSpPr/>
      </xdr:nvSpPr>
      <xdr:spPr>
        <a:xfrm>
          <a:off x="2038350" y="27444700"/>
          <a:ext cx="17983200" cy="18415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9900CC"/>
              </a:solidFill>
            </a:rPr>
            <a:t>≥</a:t>
          </a:r>
        </a:p>
      </xdr:txBody>
    </xdr:sp>
    <xdr:clientData/>
  </xdr:twoCellAnchor>
  <xdr:twoCellAnchor>
    <xdr:from>
      <xdr:col>15</xdr:col>
      <xdr:colOff>0</xdr:colOff>
      <xdr:row>149</xdr:row>
      <xdr:rowOff>0</xdr:rowOff>
    </xdr:from>
    <xdr:to>
      <xdr:col>15</xdr:col>
      <xdr:colOff>6350</xdr:colOff>
      <xdr:row>149</xdr:row>
      <xdr:rowOff>0</xdr:rowOff>
    </xdr:to>
    <xdr:cxnSp macro="">
      <xdr:nvCxnSpPr>
        <xdr:cNvPr id="1135" name="OpenSolver145">
          <a:extLst>
            <a:ext uri="{FF2B5EF4-FFF2-40B4-BE49-F238E27FC236}">
              <a16:creationId xmlns:a16="http://schemas.microsoft.com/office/drawing/2014/main" id="{A6509E03-D8F5-48DE-82AB-8E754416A7E4}"/>
            </a:ext>
          </a:extLst>
        </xdr:cNvPr>
        <xdr:cNvCxnSpPr>
          <a:stCxn id="1133" idx="2"/>
          <a:endCxn id="1134" idx="0"/>
        </xdr:cNvCxnSpPr>
      </xdr:nvCxnSpPr>
      <xdr:spPr>
        <a:xfrm flipH="1">
          <a:off x="11029950" y="27444700"/>
          <a:ext cx="635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561975</xdr:colOff>
      <xdr:row>148</xdr:row>
      <xdr:rowOff>57150</xdr:rowOff>
    </xdr:from>
    <xdr:to>
      <xdr:col>15</xdr:col>
      <xdr:colOff>193675</xdr:colOff>
      <xdr:row>149</xdr:row>
      <xdr:rowOff>127000</xdr:rowOff>
    </xdr:to>
    <xdr:sp macro="" textlink="">
      <xdr:nvSpPr>
        <xdr:cNvPr id="1136" name="OpenSolver146">
          <a:extLst>
            <a:ext uri="{FF2B5EF4-FFF2-40B4-BE49-F238E27FC236}">
              <a16:creationId xmlns:a16="http://schemas.microsoft.com/office/drawing/2014/main" id="{EF589106-550F-4224-B8C7-274C555ECB14}"/>
            </a:ext>
          </a:extLst>
        </xdr:cNvPr>
        <xdr:cNvSpPr/>
      </xdr:nvSpPr>
      <xdr:spPr>
        <a:xfrm>
          <a:off x="10842625" y="273177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166</xdr:row>
      <xdr:rowOff>0</xdr:rowOff>
    </xdr:from>
    <xdr:to>
      <xdr:col>27</xdr:col>
      <xdr:colOff>0</xdr:colOff>
      <xdr:row>167</xdr:row>
      <xdr:rowOff>0</xdr:rowOff>
    </xdr:to>
    <xdr:sp macro="" textlink="">
      <xdr:nvSpPr>
        <xdr:cNvPr id="1137" name="OpenSolver147">
          <a:extLst>
            <a:ext uri="{FF2B5EF4-FFF2-40B4-BE49-F238E27FC236}">
              <a16:creationId xmlns:a16="http://schemas.microsoft.com/office/drawing/2014/main" id="{24645522-84FE-436C-B059-4F54417BFF72}"/>
            </a:ext>
          </a:extLst>
        </xdr:cNvPr>
        <xdr:cNvSpPr/>
      </xdr:nvSpPr>
      <xdr:spPr>
        <a:xfrm>
          <a:off x="2038350" y="30575250"/>
          <a:ext cx="17983200" cy="18415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3</xdr:col>
      <xdr:colOff>0</xdr:colOff>
      <xdr:row>170</xdr:row>
      <xdr:rowOff>0</xdr:rowOff>
    </xdr:from>
    <xdr:to>
      <xdr:col>27</xdr:col>
      <xdr:colOff>0</xdr:colOff>
      <xdr:row>171</xdr:row>
      <xdr:rowOff>0</xdr:rowOff>
    </xdr:to>
    <xdr:sp macro="" textlink="">
      <xdr:nvSpPr>
        <xdr:cNvPr id="1138" name="OpenSolver148">
          <a:extLst>
            <a:ext uri="{FF2B5EF4-FFF2-40B4-BE49-F238E27FC236}">
              <a16:creationId xmlns:a16="http://schemas.microsoft.com/office/drawing/2014/main" id="{B1BA9A23-9DC1-467F-912F-2B630459C83C}"/>
            </a:ext>
          </a:extLst>
        </xdr:cNvPr>
        <xdr:cNvSpPr/>
      </xdr:nvSpPr>
      <xdr:spPr>
        <a:xfrm>
          <a:off x="2038350" y="31311850"/>
          <a:ext cx="17983200" cy="18415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800000"/>
              </a:solidFill>
            </a:rPr>
            <a:t>≤</a:t>
          </a:r>
        </a:p>
      </xdr:txBody>
    </xdr:sp>
    <xdr:clientData/>
  </xdr:twoCellAnchor>
  <xdr:twoCellAnchor>
    <xdr:from>
      <xdr:col>15</xdr:col>
      <xdr:colOff>0</xdr:colOff>
      <xdr:row>167</xdr:row>
      <xdr:rowOff>0</xdr:rowOff>
    </xdr:from>
    <xdr:to>
      <xdr:col>15</xdr:col>
      <xdr:colOff>0</xdr:colOff>
      <xdr:row>170</xdr:row>
      <xdr:rowOff>0</xdr:rowOff>
    </xdr:to>
    <xdr:cxnSp macro="">
      <xdr:nvCxnSpPr>
        <xdr:cNvPr id="1139" name="OpenSolver149">
          <a:extLst>
            <a:ext uri="{FF2B5EF4-FFF2-40B4-BE49-F238E27FC236}">
              <a16:creationId xmlns:a16="http://schemas.microsoft.com/office/drawing/2014/main" id="{0C3E3F43-FC6E-415D-9096-3AE1DACFCB68}"/>
            </a:ext>
          </a:extLst>
        </xdr:cNvPr>
        <xdr:cNvCxnSpPr>
          <a:stCxn id="1137" idx="2"/>
          <a:endCxn id="1138" idx="0"/>
        </xdr:cNvCxnSpPr>
      </xdr:nvCxnSpPr>
      <xdr:spPr>
        <a:xfrm>
          <a:off x="11029950" y="30759400"/>
          <a:ext cx="0" cy="55245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558800</xdr:colOff>
      <xdr:row>167</xdr:row>
      <xdr:rowOff>149225</xdr:rowOff>
    </xdr:from>
    <xdr:to>
      <xdr:col>15</xdr:col>
      <xdr:colOff>190500</xdr:colOff>
      <xdr:row>169</xdr:row>
      <xdr:rowOff>34925</xdr:rowOff>
    </xdr:to>
    <xdr:sp macro="" textlink="">
      <xdr:nvSpPr>
        <xdr:cNvPr id="1140" name="OpenSolver150">
          <a:extLst>
            <a:ext uri="{FF2B5EF4-FFF2-40B4-BE49-F238E27FC236}">
              <a16:creationId xmlns:a16="http://schemas.microsoft.com/office/drawing/2014/main" id="{386A6BBA-68E5-48D9-A32F-84FF194D20B4}"/>
            </a:ext>
          </a:extLst>
        </xdr:cNvPr>
        <xdr:cNvSpPr/>
      </xdr:nvSpPr>
      <xdr:spPr>
        <a:xfrm>
          <a:off x="10839450" y="309086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157</xdr:row>
      <xdr:rowOff>0</xdr:rowOff>
    </xdr:from>
    <xdr:to>
      <xdr:col>4</xdr:col>
      <xdr:colOff>0</xdr:colOff>
      <xdr:row>158</xdr:row>
      <xdr:rowOff>0</xdr:rowOff>
    </xdr:to>
    <xdr:sp macro="" textlink="">
      <xdr:nvSpPr>
        <xdr:cNvPr id="1141" name="OpenSolverD158">
          <a:extLst>
            <a:ext uri="{FF2B5EF4-FFF2-40B4-BE49-F238E27FC236}">
              <a16:creationId xmlns:a16="http://schemas.microsoft.com/office/drawing/2014/main" id="{985F63E7-B42D-4163-8C1A-8DF46E55332C}"/>
            </a:ext>
          </a:extLst>
        </xdr:cNvPr>
        <xdr:cNvSpPr/>
      </xdr:nvSpPr>
      <xdr:spPr>
        <a:xfrm>
          <a:off x="2038350" y="28917900"/>
          <a:ext cx="749300" cy="18415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CC33"/>
              </a:solidFill>
            </a:rPr>
            <a:t>142.61≤</a:t>
          </a:r>
        </a:p>
      </xdr:txBody>
    </xdr:sp>
    <xdr:clientData/>
  </xdr:twoCellAnchor>
  <xdr:twoCellAnchor>
    <xdr:from>
      <xdr:col>3</xdr:col>
      <xdr:colOff>0</xdr:colOff>
      <xdr:row>175</xdr:row>
      <xdr:rowOff>0</xdr:rowOff>
    </xdr:from>
    <xdr:to>
      <xdr:col>27</xdr:col>
      <xdr:colOff>0</xdr:colOff>
      <xdr:row>176</xdr:row>
      <xdr:rowOff>0</xdr:rowOff>
    </xdr:to>
    <xdr:sp macro="" textlink="">
      <xdr:nvSpPr>
        <xdr:cNvPr id="1142" name="OpenSolver152">
          <a:extLst>
            <a:ext uri="{FF2B5EF4-FFF2-40B4-BE49-F238E27FC236}">
              <a16:creationId xmlns:a16="http://schemas.microsoft.com/office/drawing/2014/main" id="{544353A4-6D85-46C7-841C-9DD9B64BAFA0}"/>
            </a:ext>
          </a:extLst>
        </xdr:cNvPr>
        <xdr:cNvSpPr/>
      </xdr:nvSpPr>
      <xdr:spPr>
        <a:xfrm>
          <a:off x="2038350" y="32232600"/>
          <a:ext cx="17983200" cy="18415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3</xdr:col>
      <xdr:colOff>12700</xdr:colOff>
      <xdr:row>288</xdr:row>
      <xdr:rowOff>12700</xdr:rowOff>
    </xdr:from>
    <xdr:to>
      <xdr:col>27</xdr:col>
      <xdr:colOff>0</xdr:colOff>
      <xdr:row>289</xdr:row>
      <xdr:rowOff>0</xdr:rowOff>
    </xdr:to>
    <xdr:sp macro="" textlink="">
      <xdr:nvSpPr>
        <xdr:cNvPr id="1143" name="OpenSolver153">
          <a:extLst>
            <a:ext uri="{FF2B5EF4-FFF2-40B4-BE49-F238E27FC236}">
              <a16:creationId xmlns:a16="http://schemas.microsoft.com/office/drawing/2014/main" id="{C9218220-70CC-4023-BF10-4176594F9213}"/>
            </a:ext>
          </a:extLst>
        </xdr:cNvPr>
        <xdr:cNvSpPr/>
      </xdr:nvSpPr>
      <xdr:spPr>
        <a:xfrm>
          <a:off x="2051050" y="53054250"/>
          <a:ext cx="17970500" cy="17145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FF6600"/>
              </a:solidFill>
            </a:rPr>
            <a:t>≤</a:t>
          </a:r>
        </a:p>
      </xdr:txBody>
    </xdr:sp>
    <xdr:clientData/>
  </xdr:twoCellAnchor>
  <xdr:twoCellAnchor>
    <xdr:from>
      <xdr:col>15</xdr:col>
      <xdr:colOff>0</xdr:colOff>
      <xdr:row>176</xdr:row>
      <xdr:rowOff>0</xdr:rowOff>
    </xdr:from>
    <xdr:to>
      <xdr:col>15</xdr:col>
      <xdr:colOff>6350</xdr:colOff>
      <xdr:row>288</xdr:row>
      <xdr:rowOff>12700</xdr:rowOff>
    </xdr:to>
    <xdr:cxnSp macro="">
      <xdr:nvCxnSpPr>
        <xdr:cNvPr id="1144" name="OpenSolver154">
          <a:extLst>
            <a:ext uri="{FF2B5EF4-FFF2-40B4-BE49-F238E27FC236}">
              <a16:creationId xmlns:a16="http://schemas.microsoft.com/office/drawing/2014/main" id="{8C3C26C1-08C7-44C1-8154-48315AAD608D}"/>
            </a:ext>
          </a:extLst>
        </xdr:cNvPr>
        <xdr:cNvCxnSpPr>
          <a:stCxn id="1142" idx="2"/>
          <a:endCxn id="1143" idx="0"/>
        </xdr:cNvCxnSpPr>
      </xdr:nvCxnSpPr>
      <xdr:spPr>
        <a:xfrm>
          <a:off x="11029950" y="32416750"/>
          <a:ext cx="6350" cy="2063750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561975</xdr:colOff>
      <xdr:row>231</xdr:row>
      <xdr:rowOff>63500</xdr:rowOff>
    </xdr:from>
    <xdr:to>
      <xdr:col>15</xdr:col>
      <xdr:colOff>193675</xdr:colOff>
      <xdr:row>232</xdr:row>
      <xdr:rowOff>133350</xdr:rowOff>
    </xdr:to>
    <xdr:sp macro="" textlink="">
      <xdr:nvSpPr>
        <xdr:cNvPr id="1145" name="OpenSolver155">
          <a:extLst>
            <a:ext uri="{FF2B5EF4-FFF2-40B4-BE49-F238E27FC236}">
              <a16:creationId xmlns:a16="http://schemas.microsoft.com/office/drawing/2014/main" id="{3E8115BF-750E-414A-B19D-5A9472DAF166}"/>
            </a:ext>
          </a:extLst>
        </xdr:cNvPr>
        <xdr:cNvSpPr/>
      </xdr:nvSpPr>
      <xdr:spPr>
        <a:xfrm>
          <a:off x="10842625" y="426085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185</xdr:row>
      <xdr:rowOff>0</xdr:rowOff>
    </xdr:from>
    <xdr:to>
      <xdr:col>27</xdr:col>
      <xdr:colOff>0</xdr:colOff>
      <xdr:row>186</xdr:row>
      <xdr:rowOff>0</xdr:rowOff>
    </xdr:to>
    <xdr:sp macro="" textlink="">
      <xdr:nvSpPr>
        <xdr:cNvPr id="1146" name="OpenSolver156">
          <a:extLst>
            <a:ext uri="{FF2B5EF4-FFF2-40B4-BE49-F238E27FC236}">
              <a16:creationId xmlns:a16="http://schemas.microsoft.com/office/drawing/2014/main" id="{42474F97-3244-4B37-85BD-066D1C4E2C91}"/>
            </a:ext>
          </a:extLst>
        </xdr:cNvPr>
        <xdr:cNvSpPr/>
      </xdr:nvSpPr>
      <xdr:spPr>
        <a:xfrm>
          <a:off x="2038350" y="34074100"/>
          <a:ext cx="17983200" cy="18415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3</xdr:col>
      <xdr:colOff>0</xdr:colOff>
      <xdr:row>290</xdr:row>
      <xdr:rowOff>0</xdr:rowOff>
    </xdr:from>
    <xdr:to>
      <xdr:col>27</xdr:col>
      <xdr:colOff>0</xdr:colOff>
      <xdr:row>291</xdr:row>
      <xdr:rowOff>0</xdr:rowOff>
    </xdr:to>
    <xdr:sp macro="" textlink="">
      <xdr:nvSpPr>
        <xdr:cNvPr id="1147" name="OpenSolver157">
          <a:extLst>
            <a:ext uri="{FF2B5EF4-FFF2-40B4-BE49-F238E27FC236}">
              <a16:creationId xmlns:a16="http://schemas.microsoft.com/office/drawing/2014/main" id="{17583B0F-FED8-4EBD-87F7-F69DBAB8E509}"/>
            </a:ext>
          </a:extLst>
        </xdr:cNvPr>
        <xdr:cNvSpPr/>
      </xdr:nvSpPr>
      <xdr:spPr>
        <a:xfrm>
          <a:off x="2038350" y="53409850"/>
          <a:ext cx="17983200" cy="18415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CC0099"/>
              </a:solidFill>
            </a:rPr>
            <a:t>≤</a:t>
          </a:r>
        </a:p>
      </xdr:txBody>
    </xdr:sp>
    <xdr:clientData/>
  </xdr:twoCellAnchor>
  <xdr:twoCellAnchor>
    <xdr:from>
      <xdr:col>15</xdr:col>
      <xdr:colOff>0</xdr:colOff>
      <xdr:row>186</xdr:row>
      <xdr:rowOff>0</xdr:rowOff>
    </xdr:from>
    <xdr:to>
      <xdr:col>15</xdr:col>
      <xdr:colOff>0</xdr:colOff>
      <xdr:row>290</xdr:row>
      <xdr:rowOff>0</xdr:rowOff>
    </xdr:to>
    <xdr:cxnSp macro="">
      <xdr:nvCxnSpPr>
        <xdr:cNvPr id="1148" name="OpenSolver158">
          <a:extLst>
            <a:ext uri="{FF2B5EF4-FFF2-40B4-BE49-F238E27FC236}">
              <a16:creationId xmlns:a16="http://schemas.microsoft.com/office/drawing/2014/main" id="{ED68FDA7-2354-41F0-907B-86034F276760}"/>
            </a:ext>
          </a:extLst>
        </xdr:cNvPr>
        <xdr:cNvCxnSpPr>
          <a:stCxn id="1146" idx="2"/>
          <a:endCxn id="1147" idx="0"/>
        </xdr:cNvCxnSpPr>
      </xdr:nvCxnSpPr>
      <xdr:spPr>
        <a:xfrm>
          <a:off x="11029950" y="34258250"/>
          <a:ext cx="0" cy="1915160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558800</xdr:colOff>
      <xdr:row>237</xdr:row>
      <xdr:rowOff>57147</xdr:rowOff>
    </xdr:from>
    <xdr:to>
      <xdr:col>15</xdr:col>
      <xdr:colOff>190500</xdr:colOff>
      <xdr:row>238</xdr:row>
      <xdr:rowOff>126997</xdr:rowOff>
    </xdr:to>
    <xdr:sp macro="" textlink="">
      <xdr:nvSpPr>
        <xdr:cNvPr id="1149" name="OpenSolver159">
          <a:extLst>
            <a:ext uri="{FF2B5EF4-FFF2-40B4-BE49-F238E27FC236}">
              <a16:creationId xmlns:a16="http://schemas.microsoft.com/office/drawing/2014/main" id="{61CAC032-44EC-4DE5-B469-0390F15C16FB}"/>
            </a:ext>
          </a:extLst>
        </xdr:cNvPr>
        <xdr:cNvSpPr/>
      </xdr:nvSpPr>
      <xdr:spPr>
        <a:xfrm>
          <a:off x="10839450" y="43707047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184</xdr:row>
      <xdr:rowOff>0</xdr:rowOff>
    </xdr:from>
    <xdr:to>
      <xdr:col>27</xdr:col>
      <xdr:colOff>0</xdr:colOff>
      <xdr:row>185</xdr:row>
      <xdr:rowOff>0</xdr:rowOff>
    </xdr:to>
    <xdr:sp macro="" textlink="">
      <xdr:nvSpPr>
        <xdr:cNvPr id="1150" name="OpenSolver160">
          <a:extLst>
            <a:ext uri="{FF2B5EF4-FFF2-40B4-BE49-F238E27FC236}">
              <a16:creationId xmlns:a16="http://schemas.microsoft.com/office/drawing/2014/main" id="{3A10D280-189C-42B7-9E65-4BA80B4791F4}"/>
            </a:ext>
          </a:extLst>
        </xdr:cNvPr>
        <xdr:cNvSpPr/>
      </xdr:nvSpPr>
      <xdr:spPr>
        <a:xfrm>
          <a:off x="2038350" y="33889950"/>
          <a:ext cx="17983200" cy="1841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3</xdr:col>
      <xdr:colOff>12700</xdr:colOff>
      <xdr:row>290</xdr:row>
      <xdr:rowOff>12700</xdr:rowOff>
    </xdr:from>
    <xdr:to>
      <xdr:col>27</xdr:col>
      <xdr:colOff>0</xdr:colOff>
      <xdr:row>291</xdr:row>
      <xdr:rowOff>0</xdr:rowOff>
    </xdr:to>
    <xdr:sp macro="" textlink="">
      <xdr:nvSpPr>
        <xdr:cNvPr id="1151" name="OpenSolver161">
          <a:extLst>
            <a:ext uri="{FF2B5EF4-FFF2-40B4-BE49-F238E27FC236}">
              <a16:creationId xmlns:a16="http://schemas.microsoft.com/office/drawing/2014/main" id="{7F3BD9F0-C7C7-4A06-9385-0E517F431AE7}"/>
            </a:ext>
          </a:extLst>
        </xdr:cNvPr>
        <xdr:cNvSpPr/>
      </xdr:nvSpPr>
      <xdr:spPr>
        <a:xfrm>
          <a:off x="2051050" y="53422550"/>
          <a:ext cx="17970500" cy="1714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15</xdr:col>
      <xdr:colOff>0</xdr:colOff>
      <xdr:row>185</xdr:row>
      <xdr:rowOff>0</xdr:rowOff>
    </xdr:from>
    <xdr:to>
      <xdr:col>15</xdr:col>
      <xdr:colOff>6350</xdr:colOff>
      <xdr:row>290</xdr:row>
      <xdr:rowOff>12700</xdr:rowOff>
    </xdr:to>
    <xdr:cxnSp macro="">
      <xdr:nvCxnSpPr>
        <xdr:cNvPr id="1152" name="OpenSolver162">
          <a:extLst>
            <a:ext uri="{FF2B5EF4-FFF2-40B4-BE49-F238E27FC236}">
              <a16:creationId xmlns:a16="http://schemas.microsoft.com/office/drawing/2014/main" id="{86133A1C-22C6-4C18-BD37-3980D48041E5}"/>
            </a:ext>
          </a:extLst>
        </xdr:cNvPr>
        <xdr:cNvCxnSpPr>
          <a:stCxn id="1150" idx="2"/>
          <a:endCxn id="1151" idx="0"/>
        </xdr:cNvCxnSpPr>
      </xdr:nvCxnSpPr>
      <xdr:spPr>
        <a:xfrm>
          <a:off x="11029950" y="34074100"/>
          <a:ext cx="6350" cy="1934845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561975</xdr:colOff>
      <xdr:row>236</xdr:row>
      <xdr:rowOff>155575</xdr:rowOff>
    </xdr:from>
    <xdr:to>
      <xdr:col>15</xdr:col>
      <xdr:colOff>193675</xdr:colOff>
      <xdr:row>238</xdr:row>
      <xdr:rowOff>41275</xdr:rowOff>
    </xdr:to>
    <xdr:sp macro="" textlink="">
      <xdr:nvSpPr>
        <xdr:cNvPr id="1153" name="OpenSolver163">
          <a:extLst>
            <a:ext uri="{FF2B5EF4-FFF2-40B4-BE49-F238E27FC236}">
              <a16:creationId xmlns:a16="http://schemas.microsoft.com/office/drawing/2014/main" id="{1709A50A-5534-4970-81DB-44F7DF0C6FB5}"/>
            </a:ext>
          </a:extLst>
        </xdr:cNvPr>
        <xdr:cNvSpPr/>
      </xdr:nvSpPr>
      <xdr:spPr>
        <a:xfrm>
          <a:off x="10842625" y="436213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196</xdr:row>
      <xdr:rowOff>0</xdr:rowOff>
    </xdr:from>
    <xdr:to>
      <xdr:col>27</xdr:col>
      <xdr:colOff>0</xdr:colOff>
      <xdr:row>197</xdr:row>
      <xdr:rowOff>0</xdr:rowOff>
    </xdr:to>
    <xdr:sp macro="" textlink="">
      <xdr:nvSpPr>
        <xdr:cNvPr id="1154" name="OpenSolver164">
          <a:extLst>
            <a:ext uri="{FF2B5EF4-FFF2-40B4-BE49-F238E27FC236}">
              <a16:creationId xmlns:a16="http://schemas.microsoft.com/office/drawing/2014/main" id="{6B1CE547-988C-4C4F-9063-32B6B7C68246}"/>
            </a:ext>
          </a:extLst>
        </xdr:cNvPr>
        <xdr:cNvSpPr/>
      </xdr:nvSpPr>
      <xdr:spPr>
        <a:xfrm>
          <a:off x="2038350" y="36099750"/>
          <a:ext cx="17983200" cy="1841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3</xdr:col>
      <xdr:colOff>12700</xdr:colOff>
      <xdr:row>292</xdr:row>
      <xdr:rowOff>12700</xdr:rowOff>
    </xdr:from>
    <xdr:to>
      <xdr:col>27</xdr:col>
      <xdr:colOff>0</xdr:colOff>
      <xdr:row>293</xdr:row>
      <xdr:rowOff>0</xdr:rowOff>
    </xdr:to>
    <xdr:sp macro="" textlink="">
      <xdr:nvSpPr>
        <xdr:cNvPr id="1155" name="OpenSolver165">
          <a:extLst>
            <a:ext uri="{FF2B5EF4-FFF2-40B4-BE49-F238E27FC236}">
              <a16:creationId xmlns:a16="http://schemas.microsoft.com/office/drawing/2014/main" id="{C9C11E97-43A2-4801-803F-82D6B6A9426F}"/>
            </a:ext>
          </a:extLst>
        </xdr:cNvPr>
        <xdr:cNvSpPr/>
      </xdr:nvSpPr>
      <xdr:spPr>
        <a:xfrm>
          <a:off x="2051050" y="53790850"/>
          <a:ext cx="17970500" cy="1714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15</xdr:col>
      <xdr:colOff>0</xdr:colOff>
      <xdr:row>197</xdr:row>
      <xdr:rowOff>0</xdr:rowOff>
    </xdr:from>
    <xdr:to>
      <xdr:col>15</xdr:col>
      <xdr:colOff>6350</xdr:colOff>
      <xdr:row>292</xdr:row>
      <xdr:rowOff>12700</xdr:rowOff>
    </xdr:to>
    <xdr:cxnSp macro="">
      <xdr:nvCxnSpPr>
        <xdr:cNvPr id="1156" name="OpenSolver166">
          <a:extLst>
            <a:ext uri="{FF2B5EF4-FFF2-40B4-BE49-F238E27FC236}">
              <a16:creationId xmlns:a16="http://schemas.microsoft.com/office/drawing/2014/main" id="{905254F1-90B7-4535-B9CA-9A06B0487053}"/>
            </a:ext>
          </a:extLst>
        </xdr:cNvPr>
        <xdr:cNvCxnSpPr>
          <a:stCxn id="1154" idx="2"/>
          <a:endCxn id="1155" idx="0"/>
        </xdr:cNvCxnSpPr>
      </xdr:nvCxnSpPr>
      <xdr:spPr>
        <a:xfrm>
          <a:off x="11029950" y="36283900"/>
          <a:ext cx="6350" cy="1750695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561975</xdr:colOff>
      <xdr:row>243</xdr:row>
      <xdr:rowOff>155575</xdr:rowOff>
    </xdr:from>
    <xdr:to>
      <xdr:col>15</xdr:col>
      <xdr:colOff>193675</xdr:colOff>
      <xdr:row>245</xdr:row>
      <xdr:rowOff>41275</xdr:rowOff>
    </xdr:to>
    <xdr:sp macro="" textlink="">
      <xdr:nvSpPr>
        <xdr:cNvPr id="1157" name="OpenSolver167">
          <a:extLst>
            <a:ext uri="{FF2B5EF4-FFF2-40B4-BE49-F238E27FC236}">
              <a16:creationId xmlns:a16="http://schemas.microsoft.com/office/drawing/2014/main" id="{8EE003E1-BEA3-4F8D-A1B6-4E665BF5DA84}"/>
            </a:ext>
          </a:extLst>
        </xdr:cNvPr>
        <xdr:cNvSpPr/>
      </xdr:nvSpPr>
      <xdr:spPr>
        <a:xfrm>
          <a:off x="10842625" y="4491037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205</xdr:row>
      <xdr:rowOff>0</xdr:rowOff>
    </xdr:from>
    <xdr:to>
      <xdr:col>27</xdr:col>
      <xdr:colOff>0</xdr:colOff>
      <xdr:row>206</xdr:row>
      <xdr:rowOff>0</xdr:rowOff>
    </xdr:to>
    <xdr:sp macro="" textlink="">
      <xdr:nvSpPr>
        <xdr:cNvPr id="1158" name="OpenSolver168">
          <a:extLst>
            <a:ext uri="{FF2B5EF4-FFF2-40B4-BE49-F238E27FC236}">
              <a16:creationId xmlns:a16="http://schemas.microsoft.com/office/drawing/2014/main" id="{674EE819-C168-4A6C-812D-1ABDB28F0E8C}"/>
            </a:ext>
          </a:extLst>
        </xdr:cNvPr>
        <xdr:cNvSpPr/>
      </xdr:nvSpPr>
      <xdr:spPr>
        <a:xfrm>
          <a:off x="2038350" y="37757100"/>
          <a:ext cx="17983200" cy="18415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3</xdr:col>
      <xdr:colOff>0</xdr:colOff>
      <xdr:row>207</xdr:row>
      <xdr:rowOff>0</xdr:rowOff>
    </xdr:from>
    <xdr:to>
      <xdr:col>27</xdr:col>
      <xdr:colOff>0</xdr:colOff>
      <xdr:row>208</xdr:row>
      <xdr:rowOff>0</xdr:rowOff>
    </xdr:to>
    <xdr:sp macro="" textlink="">
      <xdr:nvSpPr>
        <xdr:cNvPr id="1159" name="OpenSolver169">
          <a:extLst>
            <a:ext uri="{FF2B5EF4-FFF2-40B4-BE49-F238E27FC236}">
              <a16:creationId xmlns:a16="http://schemas.microsoft.com/office/drawing/2014/main" id="{90F1C55D-DC30-41E2-B74F-FA787D43D858}"/>
            </a:ext>
          </a:extLst>
        </xdr:cNvPr>
        <xdr:cNvSpPr/>
      </xdr:nvSpPr>
      <xdr:spPr>
        <a:xfrm>
          <a:off x="2038350" y="38125400"/>
          <a:ext cx="17983200" cy="18415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9900CC"/>
              </a:solidFill>
            </a:rPr>
            <a:t>≤</a:t>
          </a:r>
        </a:p>
      </xdr:txBody>
    </xdr:sp>
    <xdr:clientData/>
  </xdr:twoCellAnchor>
  <xdr:twoCellAnchor>
    <xdr:from>
      <xdr:col>15</xdr:col>
      <xdr:colOff>0</xdr:colOff>
      <xdr:row>206</xdr:row>
      <xdr:rowOff>0</xdr:rowOff>
    </xdr:from>
    <xdr:to>
      <xdr:col>15</xdr:col>
      <xdr:colOff>0</xdr:colOff>
      <xdr:row>207</xdr:row>
      <xdr:rowOff>0</xdr:rowOff>
    </xdr:to>
    <xdr:cxnSp macro="">
      <xdr:nvCxnSpPr>
        <xdr:cNvPr id="1160" name="OpenSolver170">
          <a:extLst>
            <a:ext uri="{FF2B5EF4-FFF2-40B4-BE49-F238E27FC236}">
              <a16:creationId xmlns:a16="http://schemas.microsoft.com/office/drawing/2014/main" id="{324B6447-4AEA-4E49-AC7A-B27284C6EA5B}"/>
            </a:ext>
          </a:extLst>
        </xdr:cNvPr>
        <xdr:cNvCxnSpPr>
          <a:stCxn id="1158" idx="2"/>
          <a:endCxn id="1159" idx="0"/>
        </xdr:cNvCxnSpPr>
      </xdr:nvCxnSpPr>
      <xdr:spPr>
        <a:xfrm>
          <a:off x="11029950" y="37941250"/>
          <a:ext cx="0" cy="18415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558800</xdr:colOff>
      <xdr:row>205</xdr:row>
      <xdr:rowOff>149222</xdr:rowOff>
    </xdr:from>
    <xdr:to>
      <xdr:col>15</xdr:col>
      <xdr:colOff>190500</xdr:colOff>
      <xdr:row>207</xdr:row>
      <xdr:rowOff>34922</xdr:rowOff>
    </xdr:to>
    <xdr:sp macro="" textlink="">
      <xdr:nvSpPr>
        <xdr:cNvPr id="1161" name="OpenSolver171">
          <a:extLst>
            <a:ext uri="{FF2B5EF4-FFF2-40B4-BE49-F238E27FC236}">
              <a16:creationId xmlns:a16="http://schemas.microsoft.com/office/drawing/2014/main" id="{412FAF6C-3E9B-4F8E-B642-3D924EDA35B6}"/>
            </a:ext>
          </a:extLst>
        </xdr:cNvPr>
        <xdr:cNvSpPr/>
      </xdr:nvSpPr>
      <xdr:spPr>
        <a:xfrm>
          <a:off x="10839450" y="37906322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12700</xdr:colOff>
      <xdr:row>191</xdr:row>
      <xdr:rowOff>12700</xdr:rowOff>
    </xdr:from>
    <xdr:to>
      <xdr:col>27</xdr:col>
      <xdr:colOff>0</xdr:colOff>
      <xdr:row>192</xdr:row>
      <xdr:rowOff>0</xdr:rowOff>
    </xdr:to>
    <xdr:sp macro="" textlink="">
      <xdr:nvSpPr>
        <xdr:cNvPr id="1162" name="OpenSolver172">
          <a:extLst>
            <a:ext uri="{FF2B5EF4-FFF2-40B4-BE49-F238E27FC236}">
              <a16:creationId xmlns:a16="http://schemas.microsoft.com/office/drawing/2014/main" id="{1577F6D9-81FF-4CAB-A459-8D6FCC007665}"/>
            </a:ext>
          </a:extLst>
        </xdr:cNvPr>
        <xdr:cNvSpPr/>
      </xdr:nvSpPr>
      <xdr:spPr>
        <a:xfrm>
          <a:off x="2051050" y="35191700"/>
          <a:ext cx="17970500" cy="17145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3</xdr:col>
      <xdr:colOff>0</xdr:colOff>
      <xdr:row>193</xdr:row>
      <xdr:rowOff>0</xdr:rowOff>
    </xdr:from>
    <xdr:to>
      <xdr:col>27</xdr:col>
      <xdr:colOff>0</xdr:colOff>
      <xdr:row>194</xdr:row>
      <xdr:rowOff>0</xdr:rowOff>
    </xdr:to>
    <xdr:sp macro="" textlink="">
      <xdr:nvSpPr>
        <xdr:cNvPr id="1163" name="OpenSolver173">
          <a:extLst>
            <a:ext uri="{FF2B5EF4-FFF2-40B4-BE49-F238E27FC236}">
              <a16:creationId xmlns:a16="http://schemas.microsoft.com/office/drawing/2014/main" id="{C0941169-8A47-4446-9767-A7BB3B5DDE12}"/>
            </a:ext>
          </a:extLst>
        </xdr:cNvPr>
        <xdr:cNvSpPr/>
      </xdr:nvSpPr>
      <xdr:spPr>
        <a:xfrm>
          <a:off x="2038350" y="35547300"/>
          <a:ext cx="17983200" cy="18415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800000"/>
              </a:solidFill>
            </a:rPr>
            <a:t>≤</a:t>
          </a:r>
        </a:p>
      </xdr:txBody>
    </xdr:sp>
    <xdr:clientData/>
  </xdr:twoCellAnchor>
  <xdr:twoCellAnchor>
    <xdr:from>
      <xdr:col>15</xdr:col>
      <xdr:colOff>0</xdr:colOff>
      <xdr:row>192</xdr:row>
      <xdr:rowOff>0</xdr:rowOff>
    </xdr:from>
    <xdr:to>
      <xdr:col>15</xdr:col>
      <xdr:colOff>6350</xdr:colOff>
      <xdr:row>193</xdr:row>
      <xdr:rowOff>0</xdr:rowOff>
    </xdr:to>
    <xdr:cxnSp macro="">
      <xdr:nvCxnSpPr>
        <xdr:cNvPr id="1164" name="OpenSolver174">
          <a:extLst>
            <a:ext uri="{FF2B5EF4-FFF2-40B4-BE49-F238E27FC236}">
              <a16:creationId xmlns:a16="http://schemas.microsoft.com/office/drawing/2014/main" id="{2BECEAE6-12C5-4290-874B-DB628939ECA5}"/>
            </a:ext>
          </a:extLst>
        </xdr:cNvPr>
        <xdr:cNvCxnSpPr>
          <a:stCxn id="1162" idx="2"/>
          <a:endCxn id="1163" idx="0"/>
        </xdr:cNvCxnSpPr>
      </xdr:nvCxnSpPr>
      <xdr:spPr>
        <a:xfrm flipH="1">
          <a:off x="11029950" y="35363150"/>
          <a:ext cx="6350" cy="18415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561975</xdr:colOff>
      <xdr:row>191</xdr:row>
      <xdr:rowOff>149228</xdr:rowOff>
    </xdr:from>
    <xdr:to>
      <xdr:col>15</xdr:col>
      <xdr:colOff>193675</xdr:colOff>
      <xdr:row>193</xdr:row>
      <xdr:rowOff>34928</xdr:rowOff>
    </xdr:to>
    <xdr:sp macro="" textlink="">
      <xdr:nvSpPr>
        <xdr:cNvPr id="1165" name="OpenSolver175">
          <a:extLst>
            <a:ext uri="{FF2B5EF4-FFF2-40B4-BE49-F238E27FC236}">
              <a16:creationId xmlns:a16="http://schemas.microsoft.com/office/drawing/2014/main" id="{323AA4E8-45B0-48A2-B47E-EFF52941589A}"/>
            </a:ext>
          </a:extLst>
        </xdr:cNvPr>
        <xdr:cNvSpPr/>
      </xdr:nvSpPr>
      <xdr:spPr>
        <a:xfrm>
          <a:off x="10842625" y="35328228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220</xdr:row>
      <xdr:rowOff>0</xdr:rowOff>
    </xdr:from>
    <xdr:to>
      <xdr:col>27</xdr:col>
      <xdr:colOff>0</xdr:colOff>
      <xdr:row>221</xdr:row>
      <xdr:rowOff>0</xdr:rowOff>
    </xdr:to>
    <xdr:sp macro="" textlink="">
      <xdr:nvSpPr>
        <xdr:cNvPr id="1166" name="OpenSolver176">
          <a:extLst>
            <a:ext uri="{FF2B5EF4-FFF2-40B4-BE49-F238E27FC236}">
              <a16:creationId xmlns:a16="http://schemas.microsoft.com/office/drawing/2014/main" id="{58394187-FF29-4FD4-9E61-8649C6475746}"/>
            </a:ext>
          </a:extLst>
        </xdr:cNvPr>
        <xdr:cNvSpPr/>
      </xdr:nvSpPr>
      <xdr:spPr>
        <a:xfrm>
          <a:off x="2038350" y="40519350"/>
          <a:ext cx="17983200" cy="18415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3</xdr:col>
      <xdr:colOff>0</xdr:colOff>
      <xdr:row>298</xdr:row>
      <xdr:rowOff>0</xdr:rowOff>
    </xdr:from>
    <xdr:to>
      <xdr:col>27</xdr:col>
      <xdr:colOff>0</xdr:colOff>
      <xdr:row>299</xdr:row>
      <xdr:rowOff>0</xdr:rowOff>
    </xdr:to>
    <xdr:sp macro="" textlink="">
      <xdr:nvSpPr>
        <xdr:cNvPr id="1167" name="OpenSolver177">
          <a:extLst>
            <a:ext uri="{FF2B5EF4-FFF2-40B4-BE49-F238E27FC236}">
              <a16:creationId xmlns:a16="http://schemas.microsoft.com/office/drawing/2014/main" id="{33983E3D-5E5D-41FE-8183-F98741F39877}"/>
            </a:ext>
          </a:extLst>
        </xdr:cNvPr>
        <xdr:cNvSpPr/>
      </xdr:nvSpPr>
      <xdr:spPr>
        <a:xfrm>
          <a:off x="2038350" y="54883050"/>
          <a:ext cx="17983200" cy="18415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CC33"/>
              </a:solidFill>
            </a:rPr>
            <a:t>≤</a:t>
          </a:r>
        </a:p>
      </xdr:txBody>
    </xdr:sp>
    <xdr:clientData/>
  </xdr:twoCellAnchor>
  <xdr:twoCellAnchor>
    <xdr:from>
      <xdr:col>15</xdr:col>
      <xdr:colOff>0</xdr:colOff>
      <xdr:row>221</xdr:row>
      <xdr:rowOff>0</xdr:rowOff>
    </xdr:from>
    <xdr:to>
      <xdr:col>15</xdr:col>
      <xdr:colOff>0</xdr:colOff>
      <xdr:row>298</xdr:row>
      <xdr:rowOff>0</xdr:rowOff>
    </xdr:to>
    <xdr:cxnSp macro="">
      <xdr:nvCxnSpPr>
        <xdr:cNvPr id="1168" name="OpenSolver178">
          <a:extLst>
            <a:ext uri="{FF2B5EF4-FFF2-40B4-BE49-F238E27FC236}">
              <a16:creationId xmlns:a16="http://schemas.microsoft.com/office/drawing/2014/main" id="{D5F8A352-8CF0-4158-BFF1-247D221AE0DF}"/>
            </a:ext>
          </a:extLst>
        </xdr:cNvPr>
        <xdr:cNvCxnSpPr>
          <a:stCxn id="1166" idx="2"/>
          <a:endCxn id="1167" idx="0"/>
        </xdr:cNvCxnSpPr>
      </xdr:nvCxnSpPr>
      <xdr:spPr>
        <a:xfrm>
          <a:off x="11029950" y="40703500"/>
          <a:ext cx="0" cy="1417955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558800</xdr:colOff>
      <xdr:row>258</xdr:row>
      <xdr:rowOff>149225</xdr:rowOff>
    </xdr:from>
    <xdr:to>
      <xdr:col>15</xdr:col>
      <xdr:colOff>190500</xdr:colOff>
      <xdr:row>260</xdr:row>
      <xdr:rowOff>34925</xdr:rowOff>
    </xdr:to>
    <xdr:sp macro="" textlink="">
      <xdr:nvSpPr>
        <xdr:cNvPr id="1169" name="OpenSolver179">
          <a:extLst>
            <a:ext uri="{FF2B5EF4-FFF2-40B4-BE49-F238E27FC236}">
              <a16:creationId xmlns:a16="http://schemas.microsoft.com/office/drawing/2014/main" id="{B71A00D7-7A53-462B-8C91-49E9C6E20269}"/>
            </a:ext>
          </a:extLst>
        </xdr:cNvPr>
        <xdr:cNvSpPr/>
      </xdr:nvSpPr>
      <xdr:spPr>
        <a:xfrm>
          <a:off x="10839450" y="4766627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12700</xdr:colOff>
      <xdr:row>202</xdr:row>
      <xdr:rowOff>12700</xdr:rowOff>
    </xdr:from>
    <xdr:to>
      <xdr:col>27</xdr:col>
      <xdr:colOff>0</xdr:colOff>
      <xdr:row>203</xdr:row>
      <xdr:rowOff>0</xdr:rowOff>
    </xdr:to>
    <xdr:sp macro="" textlink="">
      <xdr:nvSpPr>
        <xdr:cNvPr id="1170" name="OpenSolver180">
          <a:extLst>
            <a:ext uri="{FF2B5EF4-FFF2-40B4-BE49-F238E27FC236}">
              <a16:creationId xmlns:a16="http://schemas.microsoft.com/office/drawing/2014/main" id="{1CD874AB-0175-4399-890B-7FDC910A0CF1}"/>
            </a:ext>
          </a:extLst>
        </xdr:cNvPr>
        <xdr:cNvSpPr/>
      </xdr:nvSpPr>
      <xdr:spPr>
        <a:xfrm>
          <a:off x="2051050" y="37217350"/>
          <a:ext cx="17970500" cy="17145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3</xdr:col>
      <xdr:colOff>0</xdr:colOff>
      <xdr:row>204</xdr:row>
      <xdr:rowOff>0</xdr:rowOff>
    </xdr:from>
    <xdr:to>
      <xdr:col>27</xdr:col>
      <xdr:colOff>0</xdr:colOff>
      <xdr:row>205</xdr:row>
      <xdr:rowOff>0</xdr:rowOff>
    </xdr:to>
    <xdr:sp macro="" textlink="">
      <xdr:nvSpPr>
        <xdr:cNvPr id="1171" name="OpenSolver181">
          <a:extLst>
            <a:ext uri="{FF2B5EF4-FFF2-40B4-BE49-F238E27FC236}">
              <a16:creationId xmlns:a16="http://schemas.microsoft.com/office/drawing/2014/main" id="{67484211-607D-4D9B-8BAB-643772C2AEEF}"/>
            </a:ext>
          </a:extLst>
        </xdr:cNvPr>
        <xdr:cNvSpPr/>
      </xdr:nvSpPr>
      <xdr:spPr>
        <a:xfrm>
          <a:off x="2038350" y="37572950"/>
          <a:ext cx="17983200" cy="18415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FF6600"/>
              </a:solidFill>
            </a:rPr>
            <a:t>≤</a:t>
          </a:r>
        </a:p>
      </xdr:txBody>
    </xdr:sp>
    <xdr:clientData/>
  </xdr:twoCellAnchor>
  <xdr:twoCellAnchor>
    <xdr:from>
      <xdr:col>15</xdr:col>
      <xdr:colOff>0</xdr:colOff>
      <xdr:row>203</xdr:row>
      <xdr:rowOff>0</xdr:rowOff>
    </xdr:from>
    <xdr:to>
      <xdr:col>15</xdr:col>
      <xdr:colOff>6350</xdr:colOff>
      <xdr:row>204</xdr:row>
      <xdr:rowOff>0</xdr:rowOff>
    </xdr:to>
    <xdr:cxnSp macro="">
      <xdr:nvCxnSpPr>
        <xdr:cNvPr id="1172" name="OpenSolver182">
          <a:extLst>
            <a:ext uri="{FF2B5EF4-FFF2-40B4-BE49-F238E27FC236}">
              <a16:creationId xmlns:a16="http://schemas.microsoft.com/office/drawing/2014/main" id="{69C0DC98-2A17-45F5-A30A-4E82E389FD7A}"/>
            </a:ext>
          </a:extLst>
        </xdr:cNvPr>
        <xdr:cNvCxnSpPr>
          <a:stCxn id="1170" idx="2"/>
          <a:endCxn id="1171" idx="0"/>
        </xdr:cNvCxnSpPr>
      </xdr:nvCxnSpPr>
      <xdr:spPr>
        <a:xfrm flipH="1">
          <a:off x="11029950" y="37388800"/>
          <a:ext cx="6350" cy="18415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561975</xdr:colOff>
      <xdr:row>202</xdr:row>
      <xdr:rowOff>149225</xdr:rowOff>
    </xdr:from>
    <xdr:to>
      <xdr:col>15</xdr:col>
      <xdr:colOff>193675</xdr:colOff>
      <xdr:row>204</xdr:row>
      <xdr:rowOff>34925</xdr:rowOff>
    </xdr:to>
    <xdr:sp macro="" textlink="">
      <xdr:nvSpPr>
        <xdr:cNvPr id="1173" name="OpenSolver183">
          <a:extLst>
            <a:ext uri="{FF2B5EF4-FFF2-40B4-BE49-F238E27FC236}">
              <a16:creationId xmlns:a16="http://schemas.microsoft.com/office/drawing/2014/main" id="{9181CB41-7FB2-4AE5-8626-DFDF91D17013}"/>
            </a:ext>
          </a:extLst>
        </xdr:cNvPr>
        <xdr:cNvSpPr/>
      </xdr:nvSpPr>
      <xdr:spPr>
        <a:xfrm>
          <a:off x="10842625" y="3735387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218</xdr:row>
      <xdr:rowOff>0</xdr:rowOff>
    </xdr:from>
    <xdr:to>
      <xdr:col>27</xdr:col>
      <xdr:colOff>0</xdr:colOff>
      <xdr:row>219</xdr:row>
      <xdr:rowOff>0</xdr:rowOff>
    </xdr:to>
    <xdr:sp macro="" textlink="">
      <xdr:nvSpPr>
        <xdr:cNvPr id="1174" name="OpenSolver184">
          <a:extLst>
            <a:ext uri="{FF2B5EF4-FFF2-40B4-BE49-F238E27FC236}">
              <a16:creationId xmlns:a16="http://schemas.microsoft.com/office/drawing/2014/main" id="{9B6D806F-4F91-44E7-B899-91D38BCBAF51}"/>
            </a:ext>
          </a:extLst>
        </xdr:cNvPr>
        <xdr:cNvSpPr/>
      </xdr:nvSpPr>
      <xdr:spPr>
        <a:xfrm>
          <a:off x="2038350" y="40151050"/>
          <a:ext cx="17983200" cy="18415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3</xdr:col>
      <xdr:colOff>0</xdr:colOff>
      <xdr:row>223</xdr:row>
      <xdr:rowOff>0</xdr:rowOff>
    </xdr:from>
    <xdr:to>
      <xdr:col>27</xdr:col>
      <xdr:colOff>0</xdr:colOff>
      <xdr:row>224</xdr:row>
      <xdr:rowOff>0</xdr:rowOff>
    </xdr:to>
    <xdr:sp macro="" textlink="">
      <xdr:nvSpPr>
        <xdr:cNvPr id="1175" name="OpenSolver185">
          <a:extLst>
            <a:ext uri="{FF2B5EF4-FFF2-40B4-BE49-F238E27FC236}">
              <a16:creationId xmlns:a16="http://schemas.microsoft.com/office/drawing/2014/main" id="{ACF39A56-4344-422C-A033-26D02D30AD02}"/>
            </a:ext>
          </a:extLst>
        </xdr:cNvPr>
        <xdr:cNvSpPr/>
      </xdr:nvSpPr>
      <xdr:spPr>
        <a:xfrm>
          <a:off x="2038350" y="41071800"/>
          <a:ext cx="17983200" cy="18415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CC0099"/>
              </a:solidFill>
            </a:rPr>
            <a:t>≥</a:t>
          </a:r>
        </a:p>
      </xdr:txBody>
    </xdr:sp>
    <xdr:clientData/>
  </xdr:twoCellAnchor>
  <xdr:twoCellAnchor>
    <xdr:from>
      <xdr:col>15</xdr:col>
      <xdr:colOff>0</xdr:colOff>
      <xdr:row>219</xdr:row>
      <xdr:rowOff>0</xdr:rowOff>
    </xdr:from>
    <xdr:to>
      <xdr:col>15</xdr:col>
      <xdr:colOff>0</xdr:colOff>
      <xdr:row>223</xdr:row>
      <xdr:rowOff>0</xdr:rowOff>
    </xdr:to>
    <xdr:cxnSp macro="">
      <xdr:nvCxnSpPr>
        <xdr:cNvPr id="1176" name="OpenSolver186">
          <a:extLst>
            <a:ext uri="{FF2B5EF4-FFF2-40B4-BE49-F238E27FC236}">
              <a16:creationId xmlns:a16="http://schemas.microsoft.com/office/drawing/2014/main" id="{C2489136-16EA-493B-88AF-C38055EE8F85}"/>
            </a:ext>
          </a:extLst>
        </xdr:cNvPr>
        <xdr:cNvCxnSpPr>
          <a:stCxn id="1174" idx="2"/>
          <a:endCxn id="1175" idx="0"/>
        </xdr:cNvCxnSpPr>
      </xdr:nvCxnSpPr>
      <xdr:spPr>
        <a:xfrm>
          <a:off x="11029950" y="40335200"/>
          <a:ext cx="0" cy="73660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558800</xdr:colOff>
      <xdr:row>220</xdr:row>
      <xdr:rowOff>57150</xdr:rowOff>
    </xdr:from>
    <xdr:to>
      <xdr:col>15</xdr:col>
      <xdr:colOff>190500</xdr:colOff>
      <xdr:row>221</xdr:row>
      <xdr:rowOff>127000</xdr:rowOff>
    </xdr:to>
    <xdr:sp macro="" textlink="">
      <xdr:nvSpPr>
        <xdr:cNvPr id="1177" name="OpenSolver187">
          <a:extLst>
            <a:ext uri="{FF2B5EF4-FFF2-40B4-BE49-F238E27FC236}">
              <a16:creationId xmlns:a16="http://schemas.microsoft.com/office/drawing/2014/main" id="{0B74E694-DB40-492C-B2BB-F85DF89C27E2}"/>
            </a:ext>
          </a:extLst>
        </xdr:cNvPr>
        <xdr:cNvSpPr/>
      </xdr:nvSpPr>
      <xdr:spPr>
        <a:xfrm>
          <a:off x="10839450" y="405765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8</xdr:row>
      <xdr:rowOff>0</xdr:rowOff>
    </xdr:from>
    <xdr:to>
      <xdr:col>27</xdr:col>
      <xdr:colOff>0</xdr:colOff>
      <xdr:row>9</xdr:row>
      <xdr:rowOff>0</xdr:rowOff>
    </xdr:to>
    <xdr:sp macro="" textlink="">
      <xdr:nvSpPr>
        <xdr:cNvPr id="1178" name="OpenSolver188">
          <a:extLst>
            <a:ext uri="{FF2B5EF4-FFF2-40B4-BE49-F238E27FC236}">
              <a16:creationId xmlns:a16="http://schemas.microsoft.com/office/drawing/2014/main" id="{9535AFD8-0422-4104-ABBA-7609EF113D8B}"/>
            </a:ext>
          </a:extLst>
        </xdr:cNvPr>
        <xdr:cNvSpPr/>
      </xdr:nvSpPr>
      <xdr:spPr>
        <a:xfrm>
          <a:off x="2038350" y="1473200"/>
          <a:ext cx="17983200" cy="1841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3</xdr:col>
      <xdr:colOff>0</xdr:colOff>
      <xdr:row>255</xdr:row>
      <xdr:rowOff>0</xdr:rowOff>
    </xdr:from>
    <xdr:to>
      <xdr:col>27</xdr:col>
      <xdr:colOff>0</xdr:colOff>
      <xdr:row>256</xdr:row>
      <xdr:rowOff>0</xdr:rowOff>
    </xdr:to>
    <xdr:sp macro="" textlink="">
      <xdr:nvSpPr>
        <xdr:cNvPr id="1179" name="OpenSolver189">
          <a:extLst>
            <a:ext uri="{FF2B5EF4-FFF2-40B4-BE49-F238E27FC236}">
              <a16:creationId xmlns:a16="http://schemas.microsoft.com/office/drawing/2014/main" id="{061A6C3C-EDBC-4C48-9FDA-BE1489CE9D18}"/>
            </a:ext>
          </a:extLst>
        </xdr:cNvPr>
        <xdr:cNvSpPr/>
      </xdr:nvSpPr>
      <xdr:spPr>
        <a:xfrm>
          <a:off x="2038350" y="46964600"/>
          <a:ext cx="17983200" cy="1841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15</xdr:col>
      <xdr:colOff>0</xdr:colOff>
      <xdr:row>9</xdr:row>
      <xdr:rowOff>0</xdr:rowOff>
    </xdr:from>
    <xdr:to>
      <xdr:col>15</xdr:col>
      <xdr:colOff>0</xdr:colOff>
      <xdr:row>255</xdr:row>
      <xdr:rowOff>0</xdr:rowOff>
    </xdr:to>
    <xdr:cxnSp macro="">
      <xdr:nvCxnSpPr>
        <xdr:cNvPr id="1180" name="OpenSolver190">
          <a:extLst>
            <a:ext uri="{FF2B5EF4-FFF2-40B4-BE49-F238E27FC236}">
              <a16:creationId xmlns:a16="http://schemas.microsoft.com/office/drawing/2014/main" id="{88156F15-589E-4C07-B482-04D30AA288D3}"/>
            </a:ext>
          </a:extLst>
        </xdr:cNvPr>
        <xdr:cNvCxnSpPr>
          <a:stCxn id="1178" idx="2"/>
          <a:endCxn id="1179" idx="0"/>
        </xdr:cNvCxnSpPr>
      </xdr:nvCxnSpPr>
      <xdr:spPr>
        <a:xfrm>
          <a:off x="11029950" y="1657350"/>
          <a:ext cx="0" cy="4530725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558800</xdr:colOff>
      <xdr:row>131</xdr:row>
      <xdr:rowOff>53973</xdr:rowOff>
    </xdr:from>
    <xdr:to>
      <xdr:col>15</xdr:col>
      <xdr:colOff>190500</xdr:colOff>
      <xdr:row>132</xdr:row>
      <xdr:rowOff>123823</xdr:rowOff>
    </xdr:to>
    <xdr:sp macro="" textlink="">
      <xdr:nvSpPr>
        <xdr:cNvPr id="1181" name="OpenSolver191">
          <a:extLst>
            <a:ext uri="{FF2B5EF4-FFF2-40B4-BE49-F238E27FC236}">
              <a16:creationId xmlns:a16="http://schemas.microsoft.com/office/drawing/2014/main" id="{EF5027FB-DAA3-4DF8-864B-1BCAE2D459AA}"/>
            </a:ext>
          </a:extLst>
        </xdr:cNvPr>
        <xdr:cNvSpPr/>
      </xdr:nvSpPr>
      <xdr:spPr>
        <a:xfrm>
          <a:off x="10839450" y="24183973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225</xdr:row>
      <xdr:rowOff>0</xdr:rowOff>
    </xdr:from>
    <xdr:to>
      <xdr:col>27</xdr:col>
      <xdr:colOff>0</xdr:colOff>
      <xdr:row>226</xdr:row>
      <xdr:rowOff>0</xdr:rowOff>
    </xdr:to>
    <xdr:sp macro="" textlink="">
      <xdr:nvSpPr>
        <xdr:cNvPr id="1182" name="OpenSolver192">
          <a:extLst>
            <a:ext uri="{FF2B5EF4-FFF2-40B4-BE49-F238E27FC236}">
              <a16:creationId xmlns:a16="http://schemas.microsoft.com/office/drawing/2014/main" id="{E77AF5F8-AE5A-487F-B634-351D78E0E27F}"/>
            </a:ext>
          </a:extLst>
        </xdr:cNvPr>
        <xdr:cNvSpPr/>
      </xdr:nvSpPr>
      <xdr:spPr>
        <a:xfrm>
          <a:off x="2038350" y="41440100"/>
          <a:ext cx="17983200" cy="1841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3</xdr:col>
      <xdr:colOff>0</xdr:colOff>
      <xdr:row>227</xdr:row>
      <xdr:rowOff>0</xdr:rowOff>
    </xdr:from>
    <xdr:to>
      <xdr:col>27</xdr:col>
      <xdr:colOff>0</xdr:colOff>
      <xdr:row>228</xdr:row>
      <xdr:rowOff>0</xdr:rowOff>
    </xdr:to>
    <xdr:sp macro="" textlink="">
      <xdr:nvSpPr>
        <xdr:cNvPr id="1183" name="OpenSolver193">
          <a:extLst>
            <a:ext uri="{FF2B5EF4-FFF2-40B4-BE49-F238E27FC236}">
              <a16:creationId xmlns:a16="http://schemas.microsoft.com/office/drawing/2014/main" id="{66F06727-A216-4D30-AA8C-4715C8F12FF3}"/>
            </a:ext>
          </a:extLst>
        </xdr:cNvPr>
        <xdr:cNvSpPr/>
      </xdr:nvSpPr>
      <xdr:spPr>
        <a:xfrm>
          <a:off x="2038350" y="41808400"/>
          <a:ext cx="17983200" cy="1841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15</xdr:col>
      <xdr:colOff>0</xdr:colOff>
      <xdr:row>226</xdr:row>
      <xdr:rowOff>0</xdr:rowOff>
    </xdr:from>
    <xdr:to>
      <xdr:col>15</xdr:col>
      <xdr:colOff>0</xdr:colOff>
      <xdr:row>227</xdr:row>
      <xdr:rowOff>0</xdr:rowOff>
    </xdr:to>
    <xdr:cxnSp macro="">
      <xdr:nvCxnSpPr>
        <xdr:cNvPr id="1184" name="OpenSolver194">
          <a:extLst>
            <a:ext uri="{FF2B5EF4-FFF2-40B4-BE49-F238E27FC236}">
              <a16:creationId xmlns:a16="http://schemas.microsoft.com/office/drawing/2014/main" id="{B697A328-755C-49CD-AC01-E7868C863A57}"/>
            </a:ext>
          </a:extLst>
        </xdr:cNvPr>
        <xdr:cNvCxnSpPr>
          <a:stCxn id="1182" idx="2"/>
          <a:endCxn id="1183" idx="0"/>
        </xdr:cNvCxnSpPr>
      </xdr:nvCxnSpPr>
      <xdr:spPr>
        <a:xfrm>
          <a:off x="11029950" y="41624250"/>
          <a:ext cx="0" cy="18415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558800</xdr:colOff>
      <xdr:row>225</xdr:row>
      <xdr:rowOff>149222</xdr:rowOff>
    </xdr:from>
    <xdr:to>
      <xdr:col>15</xdr:col>
      <xdr:colOff>190500</xdr:colOff>
      <xdr:row>227</xdr:row>
      <xdr:rowOff>34922</xdr:rowOff>
    </xdr:to>
    <xdr:sp macro="" textlink="">
      <xdr:nvSpPr>
        <xdr:cNvPr id="1185" name="OpenSolver195">
          <a:extLst>
            <a:ext uri="{FF2B5EF4-FFF2-40B4-BE49-F238E27FC236}">
              <a16:creationId xmlns:a16="http://schemas.microsoft.com/office/drawing/2014/main" id="{081F6AF8-23E1-4814-B97E-8DCB16F0C4C8}"/>
            </a:ext>
          </a:extLst>
        </xdr:cNvPr>
        <xdr:cNvSpPr/>
      </xdr:nvSpPr>
      <xdr:spPr>
        <a:xfrm>
          <a:off x="10839450" y="41589322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256</xdr:row>
      <xdr:rowOff>0</xdr:rowOff>
    </xdr:from>
    <xdr:to>
      <xdr:col>27</xdr:col>
      <xdr:colOff>0</xdr:colOff>
      <xdr:row>257</xdr:row>
      <xdr:rowOff>0</xdr:rowOff>
    </xdr:to>
    <xdr:sp macro="" textlink="">
      <xdr:nvSpPr>
        <xdr:cNvPr id="1186" name="OpenSolverD257:AA257">
          <a:extLst>
            <a:ext uri="{FF2B5EF4-FFF2-40B4-BE49-F238E27FC236}">
              <a16:creationId xmlns:a16="http://schemas.microsoft.com/office/drawing/2014/main" id="{3A5E3367-B3D5-41CC-B5FB-6A5D8A28AF46}"/>
            </a:ext>
          </a:extLst>
        </xdr:cNvPr>
        <xdr:cNvSpPr/>
      </xdr:nvSpPr>
      <xdr:spPr>
        <a:xfrm>
          <a:off x="2038350" y="47148750"/>
          <a:ext cx="17983200" cy="18415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9900CC"/>
              </a:solidFill>
            </a:rPr>
            <a:t>17000≥</a:t>
          </a:r>
        </a:p>
      </xdr:txBody>
    </xdr:sp>
    <xdr:clientData/>
  </xdr:twoCellAnchor>
  <xdr:twoCellAnchor>
    <xdr:from>
      <xdr:col>3</xdr:col>
      <xdr:colOff>0</xdr:colOff>
      <xdr:row>221</xdr:row>
      <xdr:rowOff>0</xdr:rowOff>
    </xdr:from>
    <xdr:to>
      <xdr:col>27</xdr:col>
      <xdr:colOff>0</xdr:colOff>
      <xdr:row>222</xdr:row>
      <xdr:rowOff>0</xdr:rowOff>
    </xdr:to>
    <xdr:sp macro="" textlink="">
      <xdr:nvSpPr>
        <xdr:cNvPr id="1187" name="OpenSolver197">
          <a:extLst>
            <a:ext uri="{FF2B5EF4-FFF2-40B4-BE49-F238E27FC236}">
              <a16:creationId xmlns:a16="http://schemas.microsoft.com/office/drawing/2014/main" id="{EA33A568-F8A6-4FE3-8591-E12AB9209EC5}"/>
            </a:ext>
          </a:extLst>
        </xdr:cNvPr>
        <xdr:cNvSpPr/>
      </xdr:nvSpPr>
      <xdr:spPr>
        <a:xfrm>
          <a:off x="2038350" y="40703500"/>
          <a:ext cx="17983200" cy="18415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3</xdr:col>
      <xdr:colOff>12700</xdr:colOff>
      <xdr:row>298</xdr:row>
      <xdr:rowOff>12700</xdr:rowOff>
    </xdr:from>
    <xdr:to>
      <xdr:col>27</xdr:col>
      <xdr:colOff>0</xdr:colOff>
      <xdr:row>299</xdr:row>
      <xdr:rowOff>0</xdr:rowOff>
    </xdr:to>
    <xdr:sp macro="" textlink="">
      <xdr:nvSpPr>
        <xdr:cNvPr id="1188" name="OpenSolver198">
          <a:extLst>
            <a:ext uri="{FF2B5EF4-FFF2-40B4-BE49-F238E27FC236}">
              <a16:creationId xmlns:a16="http://schemas.microsoft.com/office/drawing/2014/main" id="{6473EE93-161D-4FE6-991F-F07CED6BF336}"/>
            </a:ext>
          </a:extLst>
        </xdr:cNvPr>
        <xdr:cNvSpPr/>
      </xdr:nvSpPr>
      <xdr:spPr>
        <a:xfrm>
          <a:off x="2051050" y="54895750"/>
          <a:ext cx="17970500" cy="17145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800000"/>
              </a:solidFill>
            </a:rPr>
            <a:t>≤</a:t>
          </a:r>
        </a:p>
      </xdr:txBody>
    </xdr:sp>
    <xdr:clientData/>
  </xdr:twoCellAnchor>
  <xdr:twoCellAnchor>
    <xdr:from>
      <xdr:col>15</xdr:col>
      <xdr:colOff>0</xdr:colOff>
      <xdr:row>222</xdr:row>
      <xdr:rowOff>0</xdr:rowOff>
    </xdr:from>
    <xdr:to>
      <xdr:col>15</xdr:col>
      <xdr:colOff>6350</xdr:colOff>
      <xdr:row>298</xdr:row>
      <xdr:rowOff>12700</xdr:rowOff>
    </xdr:to>
    <xdr:cxnSp macro="">
      <xdr:nvCxnSpPr>
        <xdr:cNvPr id="1189" name="OpenSolver199">
          <a:extLst>
            <a:ext uri="{FF2B5EF4-FFF2-40B4-BE49-F238E27FC236}">
              <a16:creationId xmlns:a16="http://schemas.microsoft.com/office/drawing/2014/main" id="{2BF69B25-010F-4BA6-BF9B-5197815973B9}"/>
            </a:ext>
          </a:extLst>
        </xdr:cNvPr>
        <xdr:cNvCxnSpPr>
          <a:stCxn id="1187" idx="2"/>
          <a:endCxn id="1188" idx="0"/>
        </xdr:cNvCxnSpPr>
      </xdr:nvCxnSpPr>
      <xdr:spPr>
        <a:xfrm>
          <a:off x="11029950" y="40887650"/>
          <a:ext cx="6350" cy="1400810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561975</xdr:colOff>
      <xdr:row>259</xdr:row>
      <xdr:rowOff>63497</xdr:rowOff>
    </xdr:from>
    <xdr:to>
      <xdr:col>15</xdr:col>
      <xdr:colOff>193675</xdr:colOff>
      <xdr:row>260</xdr:row>
      <xdr:rowOff>133347</xdr:rowOff>
    </xdr:to>
    <xdr:sp macro="" textlink="">
      <xdr:nvSpPr>
        <xdr:cNvPr id="1190" name="OpenSolver200">
          <a:extLst>
            <a:ext uri="{FF2B5EF4-FFF2-40B4-BE49-F238E27FC236}">
              <a16:creationId xmlns:a16="http://schemas.microsoft.com/office/drawing/2014/main" id="{2EC8D22F-8A4F-4FFE-87D5-4951FF4DFDD2}"/>
            </a:ext>
          </a:extLst>
        </xdr:cNvPr>
        <xdr:cNvSpPr/>
      </xdr:nvSpPr>
      <xdr:spPr>
        <a:xfrm>
          <a:off x="10842625" y="47764697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258</xdr:row>
      <xdr:rowOff>0</xdr:rowOff>
    </xdr:from>
    <xdr:to>
      <xdr:col>27</xdr:col>
      <xdr:colOff>0</xdr:colOff>
      <xdr:row>259</xdr:row>
      <xdr:rowOff>0</xdr:rowOff>
    </xdr:to>
    <xdr:sp macro="" textlink="">
      <xdr:nvSpPr>
        <xdr:cNvPr id="1191" name="OpenSolverD259:AA259">
          <a:extLst>
            <a:ext uri="{FF2B5EF4-FFF2-40B4-BE49-F238E27FC236}">
              <a16:creationId xmlns:a16="http://schemas.microsoft.com/office/drawing/2014/main" id="{CD3DFC1E-3011-441B-A632-20BFE55A7674}"/>
            </a:ext>
          </a:extLst>
        </xdr:cNvPr>
        <xdr:cNvSpPr/>
      </xdr:nvSpPr>
      <xdr:spPr>
        <a:xfrm>
          <a:off x="2038350" y="47517050"/>
          <a:ext cx="17983200" cy="18415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CC33"/>
              </a:solidFill>
            </a:rPr>
            <a:t>11500≥</a:t>
          </a:r>
        </a:p>
      </xdr:txBody>
    </xdr:sp>
    <xdr:clientData/>
  </xdr:twoCellAnchor>
  <xdr:twoCellAnchor>
    <xdr:from>
      <xdr:col>3</xdr:col>
      <xdr:colOff>0</xdr:colOff>
      <xdr:row>7</xdr:row>
      <xdr:rowOff>0</xdr:rowOff>
    </xdr:from>
    <xdr:to>
      <xdr:col>27</xdr:col>
      <xdr:colOff>0</xdr:colOff>
      <xdr:row>8</xdr:row>
      <xdr:rowOff>0</xdr:rowOff>
    </xdr:to>
    <xdr:sp macro="" textlink="">
      <xdr:nvSpPr>
        <xdr:cNvPr id="1192" name="OpenSolver202">
          <a:extLst>
            <a:ext uri="{FF2B5EF4-FFF2-40B4-BE49-F238E27FC236}">
              <a16:creationId xmlns:a16="http://schemas.microsoft.com/office/drawing/2014/main" id="{383DCA22-412B-4597-9287-D53AEA52FC69}"/>
            </a:ext>
          </a:extLst>
        </xdr:cNvPr>
        <xdr:cNvSpPr/>
      </xdr:nvSpPr>
      <xdr:spPr>
        <a:xfrm>
          <a:off x="2038350" y="1289050"/>
          <a:ext cx="17983200" cy="18415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3</xdr:col>
      <xdr:colOff>12700</xdr:colOff>
      <xdr:row>255</xdr:row>
      <xdr:rowOff>12700</xdr:rowOff>
    </xdr:from>
    <xdr:to>
      <xdr:col>27</xdr:col>
      <xdr:colOff>0</xdr:colOff>
      <xdr:row>256</xdr:row>
      <xdr:rowOff>0</xdr:rowOff>
    </xdr:to>
    <xdr:sp macro="" textlink="">
      <xdr:nvSpPr>
        <xdr:cNvPr id="1193" name="OpenSolver203">
          <a:extLst>
            <a:ext uri="{FF2B5EF4-FFF2-40B4-BE49-F238E27FC236}">
              <a16:creationId xmlns:a16="http://schemas.microsoft.com/office/drawing/2014/main" id="{466F7716-2B6C-4CFB-A2BD-2591AEF3985E}"/>
            </a:ext>
          </a:extLst>
        </xdr:cNvPr>
        <xdr:cNvSpPr/>
      </xdr:nvSpPr>
      <xdr:spPr>
        <a:xfrm>
          <a:off x="2051050" y="46977300"/>
          <a:ext cx="17970500" cy="17145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FF6600"/>
              </a:solidFill>
            </a:rPr>
            <a:t>≤</a:t>
          </a:r>
        </a:p>
      </xdr:txBody>
    </xdr:sp>
    <xdr:clientData/>
  </xdr:twoCellAnchor>
  <xdr:twoCellAnchor>
    <xdr:from>
      <xdr:col>15</xdr:col>
      <xdr:colOff>0</xdr:colOff>
      <xdr:row>8</xdr:row>
      <xdr:rowOff>0</xdr:rowOff>
    </xdr:from>
    <xdr:to>
      <xdr:col>15</xdr:col>
      <xdr:colOff>6350</xdr:colOff>
      <xdr:row>255</xdr:row>
      <xdr:rowOff>12700</xdr:rowOff>
    </xdr:to>
    <xdr:cxnSp macro="">
      <xdr:nvCxnSpPr>
        <xdr:cNvPr id="1194" name="OpenSolver204">
          <a:extLst>
            <a:ext uri="{FF2B5EF4-FFF2-40B4-BE49-F238E27FC236}">
              <a16:creationId xmlns:a16="http://schemas.microsoft.com/office/drawing/2014/main" id="{14258EAA-CC6C-4DC8-B74F-B0CB9DE6F11F}"/>
            </a:ext>
          </a:extLst>
        </xdr:cNvPr>
        <xdr:cNvCxnSpPr>
          <a:stCxn id="1192" idx="2"/>
          <a:endCxn id="1193" idx="0"/>
        </xdr:cNvCxnSpPr>
      </xdr:nvCxnSpPr>
      <xdr:spPr>
        <a:xfrm>
          <a:off x="11029950" y="1473200"/>
          <a:ext cx="6350" cy="4550410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561975</xdr:colOff>
      <xdr:row>130</xdr:row>
      <xdr:rowOff>152400</xdr:rowOff>
    </xdr:from>
    <xdr:to>
      <xdr:col>15</xdr:col>
      <xdr:colOff>193675</xdr:colOff>
      <xdr:row>132</xdr:row>
      <xdr:rowOff>38100</xdr:rowOff>
    </xdr:to>
    <xdr:sp macro="" textlink="">
      <xdr:nvSpPr>
        <xdr:cNvPr id="1195" name="OpenSolver205">
          <a:extLst>
            <a:ext uri="{FF2B5EF4-FFF2-40B4-BE49-F238E27FC236}">
              <a16:creationId xmlns:a16="http://schemas.microsoft.com/office/drawing/2014/main" id="{68F1A3BE-D9C4-4B48-8A43-66993B42CE97}"/>
            </a:ext>
          </a:extLst>
        </xdr:cNvPr>
        <xdr:cNvSpPr/>
      </xdr:nvSpPr>
      <xdr:spPr>
        <a:xfrm>
          <a:off x="10842625" y="240982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153</xdr:row>
      <xdr:rowOff>0</xdr:rowOff>
    </xdr:from>
    <xdr:to>
      <xdr:col>27</xdr:col>
      <xdr:colOff>0</xdr:colOff>
      <xdr:row>154</xdr:row>
      <xdr:rowOff>0</xdr:rowOff>
    </xdr:to>
    <xdr:sp macro="" textlink="">
      <xdr:nvSpPr>
        <xdr:cNvPr id="1196" name="OpenSolver206">
          <a:extLst>
            <a:ext uri="{FF2B5EF4-FFF2-40B4-BE49-F238E27FC236}">
              <a16:creationId xmlns:a16="http://schemas.microsoft.com/office/drawing/2014/main" id="{9161F587-805C-4B9B-B3BC-F254E1A2CA7C}"/>
            </a:ext>
          </a:extLst>
        </xdr:cNvPr>
        <xdr:cNvSpPr/>
      </xdr:nvSpPr>
      <xdr:spPr>
        <a:xfrm>
          <a:off x="2038350" y="28181300"/>
          <a:ext cx="17983200" cy="18415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3</xdr:col>
      <xdr:colOff>12700</xdr:colOff>
      <xdr:row>282</xdr:row>
      <xdr:rowOff>12700</xdr:rowOff>
    </xdr:from>
    <xdr:to>
      <xdr:col>27</xdr:col>
      <xdr:colOff>0</xdr:colOff>
      <xdr:row>283</xdr:row>
      <xdr:rowOff>0</xdr:rowOff>
    </xdr:to>
    <xdr:sp macro="" textlink="">
      <xdr:nvSpPr>
        <xdr:cNvPr id="1197" name="OpenSolver207">
          <a:extLst>
            <a:ext uri="{FF2B5EF4-FFF2-40B4-BE49-F238E27FC236}">
              <a16:creationId xmlns:a16="http://schemas.microsoft.com/office/drawing/2014/main" id="{8F4F115B-F845-480F-891A-38280A6D5929}"/>
            </a:ext>
          </a:extLst>
        </xdr:cNvPr>
        <xdr:cNvSpPr/>
      </xdr:nvSpPr>
      <xdr:spPr>
        <a:xfrm>
          <a:off x="2051050" y="51949350"/>
          <a:ext cx="17970500" cy="17145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CC0099"/>
              </a:solidFill>
            </a:rPr>
            <a:t>≤</a:t>
          </a:r>
        </a:p>
      </xdr:txBody>
    </xdr:sp>
    <xdr:clientData/>
  </xdr:twoCellAnchor>
  <xdr:twoCellAnchor>
    <xdr:from>
      <xdr:col>15</xdr:col>
      <xdr:colOff>0</xdr:colOff>
      <xdr:row>154</xdr:row>
      <xdr:rowOff>0</xdr:rowOff>
    </xdr:from>
    <xdr:to>
      <xdr:col>15</xdr:col>
      <xdr:colOff>6350</xdr:colOff>
      <xdr:row>282</xdr:row>
      <xdr:rowOff>12700</xdr:rowOff>
    </xdr:to>
    <xdr:cxnSp macro="">
      <xdr:nvCxnSpPr>
        <xdr:cNvPr id="1198" name="OpenSolver208">
          <a:extLst>
            <a:ext uri="{FF2B5EF4-FFF2-40B4-BE49-F238E27FC236}">
              <a16:creationId xmlns:a16="http://schemas.microsoft.com/office/drawing/2014/main" id="{D57618C2-A308-43BF-81E6-9633A6D21E6A}"/>
            </a:ext>
          </a:extLst>
        </xdr:cNvPr>
        <xdr:cNvCxnSpPr>
          <a:stCxn id="1196" idx="2"/>
          <a:endCxn id="1197" idx="0"/>
        </xdr:cNvCxnSpPr>
      </xdr:nvCxnSpPr>
      <xdr:spPr>
        <a:xfrm>
          <a:off x="11029950" y="28365450"/>
          <a:ext cx="6350" cy="2358390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561975</xdr:colOff>
      <xdr:row>217</xdr:row>
      <xdr:rowOff>63500</xdr:rowOff>
    </xdr:from>
    <xdr:to>
      <xdr:col>15</xdr:col>
      <xdr:colOff>193675</xdr:colOff>
      <xdr:row>218</xdr:row>
      <xdr:rowOff>133350</xdr:rowOff>
    </xdr:to>
    <xdr:sp macro="" textlink="">
      <xdr:nvSpPr>
        <xdr:cNvPr id="1199" name="OpenSolver209">
          <a:extLst>
            <a:ext uri="{FF2B5EF4-FFF2-40B4-BE49-F238E27FC236}">
              <a16:creationId xmlns:a16="http://schemas.microsoft.com/office/drawing/2014/main" id="{551272AF-7B59-43E5-B656-ED12B9172055}"/>
            </a:ext>
          </a:extLst>
        </xdr:cNvPr>
        <xdr:cNvSpPr/>
      </xdr:nvSpPr>
      <xdr:spPr>
        <a:xfrm>
          <a:off x="10842625" y="400304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58</xdr:row>
      <xdr:rowOff>0</xdr:rowOff>
    </xdr:from>
    <xdr:to>
      <xdr:col>27</xdr:col>
      <xdr:colOff>0</xdr:colOff>
      <xdr:row>59</xdr:row>
      <xdr:rowOff>0</xdr:rowOff>
    </xdr:to>
    <xdr:sp macro="" textlink="">
      <xdr:nvSpPr>
        <xdr:cNvPr id="1200" name="OpenSolver210">
          <a:extLst>
            <a:ext uri="{FF2B5EF4-FFF2-40B4-BE49-F238E27FC236}">
              <a16:creationId xmlns:a16="http://schemas.microsoft.com/office/drawing/2014/main" id="{6E7D7210-3B13-4C8D-B563-5276574F9820}"/>
            </a:ext>
          </a:extLst>
        </xdr:cNvPr>
        <xdr:cNvSpPr/>
      </xdr:nvSpPr>
      <xdr:spPr>
        <a:xfrm>
          <a:off x="2038350" y="10687050"/>
          <a:ext cx="17983200" cy="1841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3</xdr:col>
      <xdr:colOff>12700</xdr:colOff>
      <xdr:row>267</xdr:row>
      <xdr:rowOff>12700</xdr:rowOff>
    </xdr:from>
    <xdr:to>
      <xdr:col>27</xdr:col>
      <xdr:colOff>0</xdr:colOff>
      <xdr:row>268</xdr:row>
      <xdr:rowOff>0</xdr:rowOff>
    </xdr:to>
    <xdr:sp macro="" textlink="">
      <xdr:nvSpPr>
        <xdr:cNvPr id="1201" name="OpenSolver211">
          <a:extLst>
            <a:ext uri="{FF2B5EF4-FFF2-40B4-BE49-F238E27FC236}">
              <a16:creationId xmlns:a16="http://schemas.microsoft.com/office/drawing/2014/main" id="{FBEF9D74-12FB-441C-B4D8-9A49FC780584}"/>
            </a:ext>
          </a:extLst>
        </xdr:cNvPr>
        <xdr:cNvSpPr/>
      </xdr:nvSpPr>
      <xdr:spPr>
        <a:xfrm>
          <a:off x="2051050" y="49187100"/>
          <a:ext cx="17970500" cy="1714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15</xdr:col>
      <xdr:colOff>0</xdr:colOff>
      <xdr:row>59</xdr:row>
      <xdr:rowOff>0</xdr:rowOff>
    </xdr:from>
    <xdr:to>
      <xdr:col>15</xdr:col>
      <xdr:colOff>6350</xdr:colOff>
      <xdr:row>267</xdr:row>
      <xdr:rowOff>12700</xdr:rowOff>
    </xdr:to>
    <xdr:cxnSp macro="">
      <xdr:nvCxnSpPr>
        <xdr:cNvPr id="1202" name="OpenSolver212">
          <a:extLst>
            <a:ext uri="{FF2B5EF4-FFF2-40B4-BE49-F238E27FC236}">
              <a16:creationId xmlns:a16="http://schemas.microsoft.com/office/drawing/2014/main" id="{F52584F3-30A5-4F0E-BFAA-09A4262ABA30}"/>
            </a:ext>
          </a:extLst>
        </xdr:cNvPr>
        <xdr:cNvCxnSpPr>
          <a:stCxn id="1200" idx="2"/>
          <a:endCxn id="1201" idx="0"/>
        </xdr:cNvCxnSpPr>
      </xdr:nvCxnSpPr>
      <xdr:spPr>
        <a:xfrm>
          <a:off x="11029950" y="10871200"/>
          <a:ext cx="6350" cy="3831590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561975</xdr:colOff>
      <xdr:row>162</xdr:row>
      <xdr:rowOff>63500</xdr:rowOff>
    </xdr:from>
    <xdr:to>
      <xdr:col>15</xdr:col>
      <xdr:colOff>193675</xdr:colOff>
      <xdr:row>163</xdr:row>
      <xdr:rowOff>133350</xdr:rowOff>
    </xdr:to>
    <xdr:sp macro="" textlink="">
      <xdr:nvSpPr>
        <xdr:cNvPr id="1203" name="OpenSolver213">
          <a:extLst>
            <a:ext uri="{FF2B5EF4-FFF2-40B4-BE49-F238E27FC236}">
              <a16:creationId xmlns:a16="http://schemas.microsoft.com/office/drawing/2014/main" id="{7319772B-8CA9-4EDE-A03F-0BCA978829E7}"/>
            </a:ext>
          </a:extLst>
        </xdr:cNvPr>
        <xdr:cNvSpPr/>
      </xdr:nvSpPr>
      <xdr:spPr>
        <a:xfrm>
          <a:off x="10842625" y="299021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98</xdr:row>
      <xdr:rowOff>0</xdr:rowOff>
    </xdr:from>
    <xdr:to>
      <xdr:col>27</xdr:col>
      <xdr:colOff>0</xdr:colOff>
      <xdr:row>99</xdr:row>
      <xdr:rowOff>0</xdr:rowOff>
    </xdr:to>
    <xdr:sp macro="" textlink="">
      <xdr:nvSpPr>
        <xdr:cNvPr id="1204" name="OpenSolver214">
          <a:extLst>
            <a:ext uri="{FF2B5EF4-FFF2-40B4-BE49-F238E27FC236}">
              <a16:creationId xmlns:a16="http://schemas.microsoft.com/office/drawing/2014/main" id="{936B962A-CB80-452C-B39C-DFF416DAEBCE}"/>
            </a:ext>
          </a:extLst>
        </xdr:cNvPr>
        <xdr:cNvSpPr/>
      </xdr:nvSpPr>
      <xdr:spPr>
        <a:xfrm>
          <a:off x="2038350" y="18053050"/>
          <a:ext cx="17983200" cy="1841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3</xdr:col>
      <xdr:colOff>0</xdr:colOff>
      <xdr:row>273</xdr:row>
      <xdr:rowOff>0</xdr:rowOff>
    </xdr:from>
    <xdr:to>
      <xdr:col>27</xdr:col>
      <xdr:colOff>0</xdr:colOff>
      <xdr:row>274</xdr:row>
      <xdr:rowOff>0</xdr:rowOff>
    </xdr:to>
    <xdr:sp macro="" textlink="">
      <xdr:nvSpPr>
        <xdr:cNvPr id="1205" name="OpenSolver215">
          <a:extLst>
            <a:ext uri="{FF2B5EF4-FFF2-40B4-BE49-F238E27FC236}">
              <a16:creationId xmlns:a16="http://schemas.microsoft.com/office/drawing/2014/main" id="{9060B90C-50A0-4254-8BE0-734E84A44DFC}"/>
            </a:ext>
          </a:extLst>
        </xdr:cNvPr>
        <xdr:cNvSpPr/>
      </xdr:nvSpPr>
      <xdr:spPr>
        <a:xfrm>
          <a:off x="2038350" y="50279300"/>
          <a:ext cx="17983200" cy="1841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8000"/>
              </a:solidFill>
            </a:rPr>
            <a:t>≥</a:t>
          </a:r>
        </a:p>
      </xdr:txBody>
    </xdr:sp>
    <xdr:clientData/>
  </xdr:twoCellAnchor>
  <xdr:twoCellAnchor>
    <xdr:from>
      <xdr:col>15</xdr:col>
      <xdr:colOff>0</xdr:colOff>
      <xdr:row>99</xdr:row>
      <xdr:rowOff>0</xdr:rowOff>
    </xdr:from>
    <xdr:to>
      <xdr:col>15</xdr:col>
      <xdr:colOff>0</xdr:colOff>
      <xdr:row>273</xdr:row>
      <xdr:rowOff>0</xdr:rowOff>
    </xdr:to>
    <xdr:cxnSp macro="">
      <xdr:nvCxnSpPr>
        <xdr:cNvPr id="1206" name="OpenSolver216">
          <a:extLst>
            <a:ext uri="{FF2B5EF4-FFF2-40B4-BE49-F238E27FC236}">
              <a16:creationId xmlns:a16="http://schemas.microsoft.com/office/drawing/2014/main" id="{77E5F439-3198-475F-BFDC-3C79FC198500}"/>
            </a:ext>
          </a:extLst>
        </xdr:cNvPr>
        <xdr:cNvCxnSpPr>
          <a:stCxn id="1204" idx="2"/>
          <a:endCxn id="1205" idx="0"/>
        </xdr:cNvCxnSpPr>
      </xdr:nvCxnSpPr>
      <xdr:spPr>
        <a:xfrm>
          <a:off x="11029950" y="18237200"/>
          <a:ext cx="0" cy="3204210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558800</xdr:colOff>
      <xdr:row>185</xdr:row>
      <xdr:rowOff>57150</xdr:rowOff>
    </xdr:from>
    <xdr:to>
      <xdr:col>15</xdr:col>
      <xdr:colOff>190500</xdr:colOff>
      <xdr:row>186</xdr:row>
      <xdr:rowOff>127000</xdr:rowOff>
    </xdr:to>
    <xdr:sp macro="" textlink="">
      <xdr:nvSpPr>
        <xdr:cNvPr id="1207" name="OpenSolver217">
          <a:extLst>
            <a:ext uri="{FF2B5EF4-FFF2-40B4-BE49-F238E27FC236}">
              <a16:creationId xmlns:a16="http://schemas.microsoft.com/office/drawing/2014/main" id="{BA3324B9-BEE8-4F45-9688-72AF131DE7DB}"/>
            </a:ext>
          </a:extLst>
        </xdr:cNvPr>
        <xdr:cNvSpPr/>
      </xdr:nvSpPr>
      <xdr:spPr>
        <a:xfrm>
          <a:off x="10839450" y="341312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71</xdr:row>
      <xdr:rowOff>0</xdr:rowOff>
    </xdr:from>
    <xdr:to>
      <xdr:col>27</xdr:col>
      <xdr:colOff>0</xdr:colOff>
      <xdr:row>72</xdr:row>
      <xdr:rowOff>0</xdr:rowOff>
    </xdr:to>
    <xdr:sp macro="" textlink="">
      <xdr:nvSpPr>
        <xdr:cNvPr id="1208" name="OpenSolver218">
          <a:extLst>
            <a:ext uri="{FF2B5EF4-FFF2-40B4-BE49-F238E27FC236}">
              <a16:creationId xmlns:a16="http://schemas.microsoft.com/office/drawing/2014/main" id="{028D8735-C639-4F95-A8AF-BDECDEEE8204}"/>
            </a:ext>
          </a:extLst>
        </xdr:cNvPr>
        <xdr:cNvSpPr/>
      </xdr:nvSpPr>
      <xdr:spPr>
        <a:xfrm>
          <a:off x="2038350" y="13081000"/>
          <a:ext cx="17983200" cy="18415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3</xdr:col>
      <xdr:colOff>12700</xdr:colOff>
      <xdr:row>269</xdr:row>
      <xdr:rowOff>12700</xdr:rowOff>
    </xdr:from>
    <xdr:to>
      <xdr:col>27</xdr:col>
      <xdr:colOff>0</xdr:colOff>
      <xdr:row>270</xdr:row>
      <xdr:rowOff>0</xdr:rowOff>
    </xdr:to>
    <xdr:sp macro="" textlink="">
      <xdr:nvSpPr>
        <xdr:cNvPr id="1209" name="OpenSolver219">
          <a:extLst>
            <a:ext uri="{FF2B5EF4-FFF2-40B4-BE49-F238E27FC236}">
              <a16:creationId xmlns:a16="http://schemas.microsoft.com/office/drawing/2014/main" id="{667E92C4-B1EC-49E3-A3F2-1ACCDDE039C5}"/>
            </a:ext>
          </a:extLst>
        </xdr:cNvPr>
        <xdr:cNvSpPr/>
      </xdr:nvSpPr>
      <xdr:spPr>
        <a:xfrm>
          <a:off x="2051050" y="49555400"/>
          <a:ext cx="17970500" cy="17145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9900CC"/>
              </a:solidFill>
            </a:rPr>
            <a:t>≤</a:t>
          </a:r>
        </a:p>
      </xdr:txBody>
    </xdr:sp>
    <xdr:clientData/>
  </xdr:twoCellAnchor>
  <xdr:twoCellAnchor>
    <xdr:from>
      <xdr:col>15</xdr:col>
      <xdr:colOff>0</xdr:colOff>
      <xdr:row>72</xdr:row>
      <xdr:rowOff>0</xdr:rowOff>
    </xdr:from>
    <xdr:to>
      <xdr:col>15</xdr:col>
      <xdr:colOff>6350</xdr:colOff>
      <xdr:row>269</xdr:row>
      <xdr:rowOff>12700</xdr:rowOff>
    </xdr:to>
    <xdr:cxnSp macro="">
      <xdr:nvCxnSpPr>
        <xdr:cNvPr id="1210" name="OpenSolver220">
          <a:extLst>
            <a:ext uri="{FF2B5EF4-FFF2-40B4-BE49-F238E27FC236}">
              <a16:creationId xmlns:a16="http://schemas.microsoft.com/office/drawing/2014/main" id="{5B4E2EE8-CA38-4365-B2C7-B0F5AA6076B3}"/>
            </a:ext>
          </a:extLst>
        </xdr:cNvPr>
        <xdr:cNvCxnSpPr>
          <a:stCxn id="1208" idx="2"/>
          <a:endCxn id="1209" idx="0"/>
        </xdr:cNvCxnSpPr>
      </xdr:nvCxnSpPr>
      <xdr:spPr>
        <a:xfrm>
          <a:off x="11029950" y="13265150"/>
          <a:ext cx="6350" cy="3629025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561975</xdr:colOff>
      <xdr:row>169</xdr:row>
      <xdr:rowOff>155575</xdr:rowOff>
    </xdr:from>
    <xdr:to>
      <xdr:col>15</xdr:col>
      <xdr:colOff>193675</xdr:colOff>
      <xdr:row>171</xdr:row>
      <xdr:rowOff>41275</xdr:rowOff>
    </xdr:to>
    <xdr:sp macro="" textlink="">
      <xdr:nvSpPr>
        <xdr:cNvPr id="1211" name="OpenSolver221">
          <a:extLst>
            <a:ext uri="{FF2B5EF4-FFF2-40B4-BE49-F238E27FC236}">
              <a16:creationId xmlns:a16="http://schemas.microsoft.com/office/drawing/2014/main" id="{5215FEE4-EA78-4D78-BCFA-313E67C5D69F}"/>
            </a:ext>
          </a:extLst>
        </xdr:cNvPr>
        <xdr:cNvSpPr/>
      </xdr:nvSpPr>
      <xdr:spPr>
        <a:xfrm>
          <a:off x="10842625" y="3128327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111</xdr:row>
      <xdr:rowOff>0</xdr:rowOff>
    </xdr:from>
    <xdr:to>
      <xdr:col>27</xdr:col>
      <xdr:colOff>0</xdr:colOff>
      <xdr:row>112</xdr:row>
      <xdr:rowOff>0</xdr:rowOff>
    </xdr:to>
    <xdr:sp macro="" textlink="">
      <xdr:nvSpPr>
        <xdr:cNvPr id="1212" name="OpenSolver222">
          <a:extLst>
            <a:ext uri="{FF2B5EF4-FFF2-40B4-BE49-F238E27FC236}">
              <a16:creationId xmlns:a16="http://schemas.microsoft.com/office/drawing/2014/main" id="{8204F761-0D85-4955-9DDC-5C157A6573DF}"/>
            </a:ext>
          </a:extLst>
        </xdr:cNvPr>
        <xdr:cNvSpPr/>
      </xdr:nvSpPr>
      <xdr:spPr>
        <a:xfrm>
          <a:off x="2038350" y="20447000"/>
          <a:ext cx="17983200" cy="18415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3</xdr:col>
      <xdr:colOff>0</xdr:colOff>
      <xdr:row>277</xdr:row>
      <xdr:rowOff>0</xdr:rowOff>
    </xdr:from>
    <xdr:to>
      <xdr:col>27</xdr:col>
      <xdr:colOff>0</xdr:colOff>
      <xdr:row>278</xdr:row>
      <xdr:rowOff>0</xdr:rowOff>
    </xdr:to>
    <xdr:sp macro="" textlink="">
      <xdr:nvSpPr>
        <xdr:cNvPr id="1213" name="OpenSolver223">
          <a:extLst>
            <a:ext uri="{FF2B5EF4-FFF2-40B4-BE49-F238E27FC236}">
              <a16:creationId xmlns:a16="http://schemas.microsoft.com/office/drawing/2014/main" id="{8FCDC0C9-8388-4419-8962-B226D3A9C360}"/>
            </a:ext>
          </a:extLst>
        </xdr:cNvPr>
        <xdr:cNvSpPr/>
      </xdr:nvSpPr>
      <xdr:spPr>
        <a:xfrm>
          <a:off x="2038350" y="51015900"/>
          <a:ext cx="17983200" cy="18415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800000"/>
              </a:solidFill>
            </a:rPr>
            <a:t>≤</a:t>
          </a:r>
        </a:p>
      </xdr:txBody>
    </xdr:sp>
    <xdr:clientData/>
  </xdr:twoCellAnchor>
  <xdr:twoCellAnchor>
    <xdr:from>
      <xdr:col>15</xdr:col>
      <xdr:colOff>0</xdr:colOff>
      <xdr:row>112</xdr:row>
      <xdr:rowOff>0</xdr:rowOff>
    </xdr:from>
    <xdr:to>
      <xdr:col>15</xdr:col>
      <xdr:colOff>0</xdr:colOff>
      <xdr:row>277</xdr:row>
      <xdr:rowOff>0</xdr:rowOff>
    </xdr:to>
    <xdr:cxnSp macro="">
      <xdr:nvCxnSpPr>
        <xdr:cNvPr id="1214" name="OpenSolver224">
          <a:extLst>
            <a:ext uri="{FF2B5EF4-FFF2-40B4-BE49-F238E27FC236}">
              <a16:creationId xmlns:a16="http://schemas.microsoft.com/office/drawing/2014/main" id="{FC61D011-9D16-47E1-AEAE-F57B4DFB2F2C}"/>
            </a:ext>
          </a:extLst>
        </xdr:cNvPr>
        <xdr:cNvCxnSpPr>
          <a:stCxn id="1212" idx="2"/>
          <a:endCxn id="1213" idx="0"/>
        </xdr:cNvCxnSpPr>
      </xdr:nvCxnSpPr>
      <xdr:spPr>
        <a:xfrm>
          <a:off x="11029950" y="20631150"/>
          <a:ext cx="0" cy="3038475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558800</xdr:colOff>
      <xdr:row>193</xdr:row>
      <xdr:rowOff>149225</xdr:rowOff>
    </xdr:from>
    <xdr:to>
      <xdr:col>15</xdr:col>
      <xdr:colOff>190500</xdr:colOff>
      <xdr:row>195</xdr:row>
      <xdr:rowOff>34925</xdr:rowOff>
    </xdr:to>
    <xdr:sp macro="" textlink="">
      <xdr:nvSpPr>
        <xdr:cNvPr id="1215" name="OpenSolver225">
          <a:extLst>
            <a:ext uri="{FF2B5EF4-FFF2-40B4-BE49-F238E27FC236}">
              <a16:creationId xmlns:a16="http://schemas.microsoft.com/office/drawing/2014/main" id="{52D67DD4-D50A-47D2-9D4D-FB8D6BA57811}"/>
            </a:ext>
          </a:extLst>
        </xdr:cNvPr>
        <xdr:cNvSpPr/>
      </xdr:nvSpPr>
      <xdr:spPr>
        <a:xfrm>
          <a:off x="10839450" y="356965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89</xdr:row>
      <xdr:rowOff>0</xdr:rowOff>
    </xdr:from>
    <xdr:to>
      <xdr:col>27</xdr:col>
      <xdr:colOff>0</xdr:colOff>
      <xdr:row>90</xdr:row>
      <xdr:rowOff>0</xdr:rowOff>
    </xdr:to>
    <xdr:sp macro="" textlink="">
      <xdr:nvSpPr>
        <xdr:cNvPr id="1216" name="OpenSolver226">
          <a:extLst>
            <a:ext uri="{FF2B5EF4-FFF2-40B4-BE49-F238E27FC236}">
              <a16:creationId xmlns:a16="http://schemas.microsoft.com/office/drawing/2014/main" id="{1CA102BF-9218-44A3-9A88-244D682AD379}"/>
            </a:ext>
          </a:extLst>
        </xdr:cNvPr>
        <xdr:cNvSpPr/>
      </xdr:nvSpPr>
      <xdr:spPr>
        <a:xfrm>
          <a:off x="2038350" y="16395700"/>
          <a:ext cx="17983200" cy="18415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3</xdr:col>
      <xdr:colOff>0</xdr:colOff>
      <xdr:row>271</xdr:row>
      <xdr:rowOff>0</xdr:rowOff>
    </xdr:from>
    <xdr:to>
      <xdr:col>27</xdr:col>
      <xdr:colOff>0</xdr:colOff>
      <xdr:row>272</xdr:row>
      <xdr:rowOff>0</xdr:rowOff>
    </xdr:to>
    <xdr:sp macro="" textlink="">
      <xdr:nvSpPr>
        <xdr:cNvPr id="1217" name="OpenSolver227">
          <a:extLst>
            <a:ext uri="{FF2B5EF4-FFF2-40B4-BE49-F238E27FC236}">
              <a16:creationId xmlns:a16="http://schemas.microsoft.com/office/drawing/2014/main" id="{83FE1558-7D47-461B-920D-6E31E96D6E1F}"/>
            </a:ext>
          </a:extLst>
        </xdr:cNvPr>
        <xdr:cNvSpPr/>
      </xdr:nvSpPr>
      <xdr:spPr>
        <a:xfrm>
          <a:off x="2038350" y="49911000"/>
          <a:ext cx="17983200" cy="18415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CC33"/>
              </a:solidFill>
            </a:rPr>
            <a:t>≥</a:t>
          </a:r>
        </a:p>
      </xdr:txBody>
    </xdr:sp>
    <xdr:clientData/>
  </xdr:twoCellAnchor>
  <xdr:twoCellAnchor>
    <xdr:from>
      <xdr:col>15</xdr:col>
      <xdr:colOff>0</xdr:colOff>
      <xdr:row>90</xdr:row>
      <xdr:rowOff>0</xdr:rowOff>
    </xdr:from>
    <xdr:to>
      <xdr:col>15</xdr:col>
      <xdr:colOff>0</xdr:colOff>
      <xdr:row>271</xdr:row>
      <xdr:rowOff>0</xdr:rowOff>
    </xdr:to>
    <xdr:cxnSp macro="">
      <xdr:nvCxnSpPr>
        <xdr:cNvPr id="1218" name="OpenSolver228">
          <a:extLst>
            <a:ext uri="{FF2B5EF4-FFF2-40B4-BE49-F238E27FC236}">
              <a16:creationId xmlns:a16="http://schemas.microsoft.com/office/drawing/2014/main" id="{89038F6D-9DCE-4ACF-A56E-94FE81532E43}"/>
            </a:ext>
          </a:extLst>
        </xdr:cNvPr>
        <xdr:cNvCxnSpPr>
          <a:stCxn id="1216" idx="2"/>
          <a:endCxn id="1217" idx="0"/>
        </xdr:cNvCxnSpPr>
      </xdr:nvCxnSpPr>
      <xdr:spPr>
        <a:xfrm>
          <a:off x="11029950" y="16579850"/>
          <a:ext cx="0" cy="3333115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558800</xdr:colOff>
      <xdr:row>179</xdr:row>
      <xdr:rowOff>149225</xdr:rowOff>
    </xdr:from>
    <xdr:to>
      <xdr:col>15</xdr:col>
      <xdr:colOff>190500</xdr:colOff>
      <xdr:row>181</xdr:row>
      <xdr:rowOff>34925</xdr:rowOff>
    </xdr:to>
    <xdr:sp macro="" textlink="">
      <xdr:nvSpPr>
        <xdr:cNvPr id="1219" name="OpenSolver229">
          <a:extLst>
            <a:ext uri="{FF2B5EF4-FFF2-40B4-BE49-F238E27FC236}">
              <a16:creationId xmlns:a16="http://schemas.microsoft.com/office/drawing/2014/main" id="{4A020758-D97F-4A90-9C92-3637D3C645B1}"/>
            </a:ext>
          </a:extLst>
        </xdr:cNvPr>
        <xdr:cNvSpPr/>
      </xdr:nvSpPr>
      <xdr:spPr>
        <a:xfrm>
          <a:off x="10839450" y="331184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260</xdr:row>
      <xdr:rowOff>0</xdr:rowOff>
    </xdr:from>
    <xdr:to>
      <xdr:col>27</xdr:col>
      <xdr:colOff>0</xdr:colOff>
      <xdr:row>261</xdr:row>
      <xdr:rowOff>0</xdr:rowOff>
    </xdr:to>
    <xdr:sp macro="" textlink="">
      <xdr:nvSpPr>
        <xdr:cNvPr id="1220" name="OpenSolverD261:AA261">
          <a:extLst>
            <a:ext uri="{FF2B5EF4-FFF2-40B4-BE49-F238E27FC236}">
              <a16:creationId xmlns:a16="http://schemas.microsoft.com/office/drawing/2014/main" id="{0F0A6E48-4229-4C5B-AA17-0E214ABD4A96}"/>
            </a:ext>
          </a:extLst>
        </xdr:cNvPr>
        <xdr:cNvSpPr/>
      </xdr:nvSpPr>
      <xdr:spPr>
        <a:xfrm>
          <a:off x="2038350" y="47885350"/>
          <a:ext cx="17983200" cy="18415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FF6600"/>
              </a:solidFill>
            </a:rPr>
            <a:t>500≤,1280≥</a:t>
          </a:r>
        </a:p>
      </xdr:txBody>
    </xdr:sp>
    <xdr:clientData/>
  </xdr:twoCellAnchor>
  <xdr:twoCellAnchor>
    <xdr:from>
      <xdr:col>3</xdr:col>
      <xdr:colOff>0</xdr:colOff>
      <xdr:row>291</xdr:row>
      <xdr:rowOff>0</xdr:rowOff>
    </xdr:from>
    <xdr:to>
      <xdr:col>27</xdr:col>
      <xdr:colOff>0</xdr:colOff>
      <xdr:row>292</xdr:row>
      <xdr:rowOff>0</xdr:rowOff>
    </xdr:to>
    <xdr:sp macro="" textlink="">
      <xdr:nvSpPr>
        <xdr:cNvPr id="1221" name="OpenSolverD292:AA292">
          <a:extLst>
            <a:ext uri="{FF2B5EF4-FFF2-40B4-BE49-F238E27FC236}">
              <a16:creationId xmlns:a16="http://schemas.microsoft.com/office/drawing/2014/main" id="{DA2CD661-0BA2-437C-98A5-E2946E7E0E39}"/>
            </a:ext>
          </a:extLst>
        </xdr:cNvPr>
        <xdr:cNvSpPr/>
      </xdr:nvSpPr>
      <xdr:spPr>
        <a:xfrm>
          <a:off x="2038350" y="53594000"/>
          <a:ext cx="17983200" cy="18415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CC0099"/>
              </a:solidFill>
            </a:rPr>
            <a:t>2700≥</a:t>
          </a:r>
        </a:p>
      </xdr:txBody>
    </xdr:sp>
    <xdr:clientData/>
  </xdr:twoCellAnchor>
  <xdr:twoCellAnchor>
    <xdr:from>
      <xdr:col>4</xdr:col>
      <xdr:colOff>0</xdr:colOff>
      <xdr:row>75</xdr:row>
      <xdr:rowOff>0</xdr:rowOff>
    </xdr:from>
    <xdr:to>
      <xdr:col>27</xdr:col>
      <xdr:colOff>0</xdr:colOff>
      <xdr:row>76</xdr:row>
      <xdr:rowOff>0</xdr:rowOff>
    </xdr:to>
    <xdr:sp macro="" textlink="">
      <xdr:nvSpPr>
        <xdr:cNvPr id="1222" name="OpenSolver232">
          <a:extLst>
            <a:ext uri="{FF2B5EF4-FFF2-40B4-BE49-F238E27FC236}">
              <a16:creationId xmlns:a16="http://schemas.microsoft.com/office/drawing/2014/main" id="{71B8BC7B-7366-4708-8F56-0B89BBAF5FEC}"/>
            </a:ext>
          </a:extLst>
        </xdr:cNvPr>
        <xdr:cNvSpPr/>
      </xdr:nvSpPr>
      <xdr:spPr>
        <a:xfrm>
          <a:off x="2787650" y="13817600"/>
          <a:ext cx="17233900" cy="1841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4</xdr:col>
      <xdr:colOff>0</xdr:colOff>
      <xdr:row>268</xdr:row>
      <xdr:rowOff>0</xdr:rowOff>
    </xdr:from>
    <xdr:to>
      <xdr:col>27</xdr:col>
      <xdr:colOff>0</xdr:colOff>
      <xdr:row>269</xdr:row>
      <xdr:rowOff>0</xdr:rowOff>
    </xdr:to>
    <xdr:sp macro="" textlink="">
      <xdr:nvSpPr>
        <xdr:cNvPr id="1223" name="OpenSolver233">
          <a:extLst>
            <a:ext uri="{FF2B5EF4-FFF2-40B4-BE49-F238E27FC236}">
              <a16:creationId xmlns:a16="http://schemas.microsoft.com/office/drawing/2014/main" id="{9337AE69-0D74-4749-A91D-17B825C2F153}"/>
            </a:ext>
          </a:extLst>
        </xdr:cNvPr>
        <xdr:cNvSpPr/>
      </xdr:nvSpPr>
      <xdr:spPr>
        <a:xfrm>
          <a:off x="2787650" y="49358550"/>
          <a:ext cx="17233900" cy="1841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15</xdr:col>
      <xdr:colOff>374650</xdr:colOff>
      <xdr:row>76</xdr:row>
      <xdr:rowOff>0</xdr:rowOff>
    </xdr:from>
    <xdr:to>
      <xdr:col>15</xdr:col>
      <xdr:colOff>374650</xdr:colOff>
      <xdr:row>268</xdr:row>
      <xdr:rowOff>0</xdr:rowOff>
    </xdr:to>
    <xdr:cxnSp macro="">
      <xdr:nvCxnSpPr>
        <xdr:cNvPr id="1224" name="OpenSolver234">
          <a:extLst>
            <a:ext uri="{FF2B5EF4-FFF2-40B4-BE49-F238E27FC236}">
              <a16:creationId xmlns:a16="http://schemas.microsoft.com/office/drawing/2014/main" id="{417440C0-A1CF-4338-BCB5-E57C517B7063}"/>
            </a:ext>
          </a:extLst>
        </xdr:cNvPr>
        <xdr:cNvCxnSpPr>
          <a:stCxn id="1222" idx="2"/>
          <a:endCxn id="1223" idx="0"/>
        </xdr:cNvCxnSpPr>
      </xdr:nvCxnSpPr>
      <xdr:spPr>
        <a:xfrm>
          <a:off x="11404600" y="14001750"/>
          <a:ext cx="0" cy="3535680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184150</xdr:colOff>
      <xdr:row>171</xdr:row>
      <xdr:rowOff>57150</xdr:rowOff>
    </xdr:from>
    <xdr:to>
      <xdr:col>15</xdr:col>
      <xdr:colOff>565150</xdr:colOff>
      <xdr:row>172</xdr:row>
      <xdr:rowOff>127000</xdr:rowOff>
    </xdr:to>
    <xdr:sp macro="" textlink="">
      <xdr:nvSpPr>
        <xdr:cNvPr id="1225" name="OpenSolver235">
          <a:extLst>
            <a:ext uri="{FF2B5EF4-FFF2-40B4-BE49-F238E27FC236}">
              <a16:creationId xmlns:a16="http://schemas.microsoft.com/office/drawing/2014/main" id="{30D76615-6F49-4603-9FC9-D08FB483006F}"/>
            </a:ext>
          </a:extLst>
        </xdr:cNvPr>
        <xdr:cNvSpPr/>
      </xdr:nvSpPr>
      <xdr:spPr>
        <a:xfrm>
          <a:off x="11214100" y="315531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63</xdr:row>
      <xdr:rowOff>0</xdr:rowOff>
    </xdr:from>
    <xdr:to>
      <xdr:col>4</xdr:col>
      <xdr:colOff>0</xdr:colOff>
      <xdr:row>64</xdr:row>
      <xdr:rowOff>0</xdr:rowOff>
    </xdr:to>
    <xdr:sp macro="" textlink="">
      <xdr:nvSpPr>
        <xdr:cNvPr id="1226" name="OpenSolver236">
          <a:extLst>
            <a:ext uri="{FF2B5EF4-FFF2-40B4-BE49-F238E27FC236}">
              <a16:creationId xmlns:a16="http://schemas.microsoft.com/office/drawing/2014/main" id="{46365108-AFA8-4BA7-8B97-19D562ABED4E}"/>
            </a:ext>
          </a:extLst>
        </xdr:cNvPr>
        <xdr:cNvSpPr/>
      </xdr:nvSpPr>
      <xdr:spPr>
        <a:xfrm>
          <a:off x="2038350" y="11607800"/>
          <a:ext cx="749300" cy="1841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8</xdr:col>
      <xdr:colOff>0</xdr:colOff>
      <xdr:row>63</xdr:row>
      <xdr:rowOff>0</xdr:rowOff>
    </xdr:from>
    <xdr:to>
      <xdr:col>9</xdr:col>
      <xdr:colOff>0</xdr:colOff>
      <xdr:row>64</xdr:row>
      <xdr:rowOff>0</xdr:rowOff>
    </xdr:to>
    <xdr:sp macro="" textlink="">
      <xdr:nvSpPr>
        <xdr:cNvPr id="1227" name="OpenSolver237">
          <a:extLst>
            <a:ext uri="{FF2B5EF4-FFF2-40B4-BE49-F238E27FC236}">
              <a16:creationId xmlns:a16="http://schemas.microsoft.com/office/drawing/2014/main" id="{0D6E956E-39CA-43A0-9CAE-39E9C4C26C28}"/>
            </a:ext>
          </a:extLst>
        </xdr:cNvPr>
        <xdr:cNvSpPr/>
      </xdr:nvSpPr>
      <xdr:spPr>
        <a:xfrm>
          <a:off x="5784850" y="11607800"/>
          <a:ext cx="749300" cy="1841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8000"/>
              </a:solidFill>
            </a:rPr>
            <a:t>≥</a:t>
          </a:r>
        </a:p>
      </xdr:txBody>
    </xdr:sp>
    <xdr:clientData/>
  </xdr:twoCellAnchor>
  <xdr:twoCellAnchor>
    <xdr:from>
      <xdr:col>4</xdr:col>
      <xdr:colOff>0</xdr:colOff>
      <xdr:row>63</xdr:row>
      <xdr:rowOff>92075</xdr:rowOff>
    </xdr:from>
    <xdr:to>
      <xdr:col>8</xdr:col>
      <xdr:colOff>0</xdr:colOff>
      <xdr:row>63</xdr:row>
      <xdr:rowOff>92075</xdr:rowOff>
    </xdr:to>
    <xdr:cxnSp macro="">
      <xdr:nvCxnSpPr>
        <xdr:cNvPr id="1228" name="OpenSolver238">
          <a:extLst>
            <a:ext uri="{FF2B5EF4-FFF2-40B4-BE49-F238E27FC236}">
              <a16:creationId xmlns:a16="http://schemas.microsoft.com/office/drawing/2014/main" id="{162B4483-B64E-4657-A963-2CEA0FA1557A}"/>
            </a:ext>
          </a:extLst>
        </xdr:cNvPr>
        <xdr:cNvCxnSpPr>
          <a:stCxn id="1226" idx="3"/>
          <a:endCxn id="1227" idx="1"/>
        </xdr:cNvCxnSpPr>
      </xdr:nvCxnSpPr>
      <xdr:spPr>
        <a:xfrm>
          <a:off x="2787650" y="11699875"/>
          <a:ext cx="299720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558800</xdr:colOff>
      <xdr:row>62</xdr:row>
      <xdr:rowOff>149225</xdr:rowOff>
    </xdr:from>
    <xdr:to>
      <xdr:col>6</xdr:col>
      <xdr:colOff>190500</xdr:colOff>
      <xdr:row>64</xdr:row>
      <xdr:rowOff>34925</xdr:rowOff>
    </xdr:to>
    <xdr:sp macro="" textlink="">
      <xdr:nvSpPr>
        <xdr:cNvPr id="1229" name="OpenSolver239">
          <a:extLst>
            <a:ext uri="{FF2B5EF4-FFF2-40B4-BE49-F238E27FC236}">
              <a16:creationId xmlns:a16="http://schemas.microsoft.com/office/drawing/2014/main" id="{E2C2C74B-A220-4557-A687-C970FC875F37}"/>
            </a:ext>
          </a:extLst>
        </xdr:cNvPr>
        <xdr:cNvSpPr/>
      </xdr:nvSpPr>
      <xdr:spPr>
        <a:xfrm>
          <a:off x="4095750" y="1157287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112</xdr:row>
      <xdr:rowOff>0</xdr:rowOff>
    </xdr:from>
    <xdr:to>
      <xdr:col>27</xdr:col>
      <xdr:colOff>0</xdr:colOff>
      <xdr:row>113</xdr:row>
      <xdr:rowOff>0</xdr:rowOff>
    </xdr:to>
    <xdr:sp macro="" textlink="">
      <xdr:nvSpPr>
        <xdr:cNvPr id="1230" name="OpenSolver240">
          <a:extLst>
            <a:ext uri="{FF2B5EF4-FFF2-40B4-BE49-F238E27FC236}">
              <a16:creationId xmlns:a16="http://schemas.microsoft.com/office/drawing/2014/main" id="{6ABB4FFB-F99D-4FE1-92F4-4E4032EBB384}"/>
            </a:ext>
          </a:extLst>
        </xdr:cNvPr>
        <xdr:cNvSpPr/>
      </xdr:nvSpPr>
      <xdr:spPr>
        <a:xfrm>
          <a:off x="2038350" y="20631150"/>
          <a:ext cx="17983200" cy="18415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3</xdr:col>
      <xdr:colOff>12700</xdr:colOff>
      <xdr:row>277</xdr:row>
      <xdr:rowOff>12700</xdr:rowOff>
    </xdr:from>
    <xdr:to>
      <xdr:col>27</xdr:col>
      <xdr:colOff>0</xdr:colOff>
      <xdr:row>278</xdr:row>
      <xdr:rowOff>0</xdr:rowOff>
    </xdr:to>
    <xdr:sp macro="" textlink="">
      <xdr:nvSpPr>
        <xdr:cNvPr id="1231" name="OpenSolver241">
          <a:extLst>
            <a:ext uri="{FF2B5EF4-FFF2-40B4-BE49-F238E27FC236}">
              <a16:creationId xmlns:a16="http://schemas.microsoft.com/office/drawing/2014/main" id="{4FBB8CFE-E972-4FC5-ABB0-82AFC06C83C1}"/>
            </a:ext>
          </a:extLst>
        </xdr:cNvPr>
        <xdr:cNvSpPr/>
      </xdr:nvSpPr>
      <xdr:spPr>
        <a:xfrm>
          <a:off x="2051050" y="51028600"/>
          <a:ext cx="17970500" cy="17145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9900CC"/>
              </a:solidFill>
            </a:rPr>
            <a:t>≥</a:t>
          </a:r>
        </a:p>
      </xdr:txBody>
    </xdr:sp>
    <xdr:clientData/>
  </xdr:twoCellAnchor>
  <xdr:twoCellAnchor>
    <xdr:from>
      <xdr:col>15</xdr:col>
      <xdr:colOff>0</xdr:colOff>
      <xdr:row>113</xdr:row>
      <xdr:rowOff>0</xdr:rowOff>
    </xdr:from>
    <xdr:to>
      <xdr:col>15</xdr:col>
      <xdr:colOff>6350</xdr:colOff>
      <xdr:row>277</xdr:row>
      <xdr:rowOff>12700</xdr:rowOff>
    </xdr:to>
    <xdr:cxnSp macro="">
      <xdr:nvCxnSpPr>
        <xdr:cNvPr id="1232" name="OpenSolver242">
          <a:extLst>
            <a:ext uri="{FF2B5EF4-FFF2-40B4-BE49-F238E27FC236}">
              <a16:creationId xmlns:a16="http://schemas.microsoft.com/office/drawing/2014/main" id="{A12F2DAC-E75F-4731-9E43-61A66EDF5B72}"/>
            </a:ext>
          </a:extLst>
        </xdr:cNvPr>
        <xdr:cNvCxnSpPr>
          <a:stCxn id="1230" idx="2"/>
          <a:endCxn id="1231" idx="0"/>
        </xdr:cNvCxnSpPr>
      </xdr:nvCxnSpPr>
      <xdr:spPr>
        <a:xfrm>
          <a:off x="11029950" y="20815300"/>
          <a:ext cx="6350" cy="3021330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561975</xdr:colOff>
      <xdr:row>194</xdr:row>
      <xdr:rowOff>63500</xdr:rowOff>
    </xdr:from>
    <xdr:to>
      <xdr:col>15</xdr:col>
      <xdr:colOff>193675</xdr:colOff>
      <xdr:row>195</xdr:row>
      <xdr:rowOff>133350</xdr:rowOff>
    </xdr:to>
    <xdr:sp macro="" textlink="">
      <xdr:nvSpPr>
        <xdr:cNvPr id="1233" name="OpenSolver243">
          <a:extLst>
            <a:ext uri="{FF2B5EF4-FFF2-40B4-BE49-F238E27FC236}">
              <a16:creationId xmlns:a16="http://schemas.microsoft.com/office/drawing/2014/main" id="{F7D5846A-190F-49D5-9CA1-7404470E8036}"/>
            </a:ext>
          </a:extLst>
        </xdr:cNvPr>
        <xdr:cNvSpPr/>
      </xdr:nvSpPr>
      <xdr:spPr>
        <a:xfrm>
          <a:off x="10842625" y="357949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0</xdr:colOff>
      <xdr:row>79</xdr:row>
      <xdr:rowOff>0</xdr:rowOff>
    </xdr:from>
    <xdr:to>
      <xdr:col>19</xdr:col>
      <xdr:colOff>0</xdr:colOff>
      <xdr:row>80</xdr:row>
      <xdr:rowOff>0</xdr:rowOff>
    </xdr:to>
    <xdr:sp macro="" textlink="">
      <xdr:nvSpPr>
        <xdr:cNvPr id="1234" name="OpenSolver244">
          <a:extLst>
            <a:ext uri="{FF2B5EF4-FFF2-40B4-BE49-F238E27FC236}">
              <a16:creationId xmlns:a16="http://schemas.microsoft.com/office/drawing/2014/main" id="{798FF0A1-B1E2-4D06-8348-797EC97F990F}"/>
            </a:ext>
          </a:extLst>
        </xdr:cNvPr>
        <xdr:cNvSpPr/>
      </xdr:nvSpPr>
      <xdr:spPr>
        <a:xfrm>
          <a:off x="13277850" y="14554200"/>
          <a:ext cx="749300" cy="18415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23</xdr:col>
      <xdr:colOff>0</xdr:colOff>
      <xdr:row>79</xdr:row>
      <xdr:rowOff>0</xdr:rowOff>
    </xdr:from>
    <xdr:to>
      <xdr:col>24</xdr:col>
      <xdr:colOff>0</xdr:colOff>
      <xdr:row>80</xdr:row>
      <xdr:rowOff>0</xdr:rowOff>
    </xdr:to>
    <xdr:sp macro="" textlink="">
      <xdr:nvSpPr>
        <xdr:cNvPr id="1235" name="OpenSolver245">
          <a:extLst>
            <a:ext uri="{FF2B5EF4-FFF2-40B4-BE49-F238E27FC236}">
              <a16:creationId xmlns:a16="http://schemas.microsoft.com/office/drawing/2014/main" id="{C199B442-2BDE-42B8-BA42-944EE74743EC}"/>
            </a:ext>
          </a:extLst>
        </xdr:cNvPr>
        <xdr:cNvSpPr/>
      </xdr:nvSpPr>
      <xdr:spPr>
        <a:xfrm>
          <a:off x="17024350" y="14554200"/>
          <a:ext cx="749300" cy="18415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800000"/>
              </a:solidFill>
            </a:rPr>
            <a:t>=</a:t>
          </a:r>
        </a:p>
      </xdr:txBody>
    </xdr:sp>
    <xdr:clientData/>
  </xdr:twoCellAnchor>
  <xdr:twoCellAnchor>
    <xdr:from>
      <xdr:col>19</xdr:col>
      <xdr:colOff>0</xdr:colOff>
      <xdr:row>79</xdr:row>
      <xdr:rowOff>92075</xdr:rowOff>
    </xdr:from>
    <xdr:to>
      <xdr:col>23</xdr:col>
      <xdr:colOff>0</xdr:colOff>
      <xdr:row>79</xdr:row>
      <xdr:rowOff>92075</xdr:rowOff>
    </xdr:to>
    <xdr:cxnSp macro="">
      <xdr:nvCxnSpPr>
        <xdr:cNvPr id="1236" name="OpenSolver246">
          <a:extLst>
            <a:ext uri="{FF2B5EF4-FFF2-40B4-BE49-F238E27FC236}">
              <a16:creationId xmlns:a16="http://schemas.microsoft.com/office/drawing/2014/main" id="{8AC5B04D-292F-4DFE-AA9F-C3CA051286CF}"/>
            </a:ext>
          </a:extLst>
        </xdr:cNvPr>
        <xdr:cNvCxnSpPr>
          <a:stCxn id="1234" idx="3"/>
          <a:endCxn id="1235" idx="1"/>
        </xdr:cNvCxnSpPr>
      </xdr:nvCxnSpPr>
      <xdr:spPr>
        <a:xfrm>
          <a:off x="14027150" y="14646275"/>
          <a:ext cx="2997200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558800</xdr:colOff>
      <xdr:row>78</xdr:row>
      <xdr:rowOff>149225</xdr:rowOff>
    </xdr:from>
    <xdr:to>
      <xdr:col>21</xdr:col>
      <xdr:colOff>190500</xdr:colOff>
      <xdr:row>80</xdr:row>
      <xdr:rowOff>34925</xdr:rowOff>
    </xdr:to>
    <xdr:sp macro="" textlink="">
      <xdr:nvSpPr>
        <xdr:cNvPr id="1237" name="OpenSolver247">
          <a:extLst>
            <a:ext uri="{FF2B5EF4-FFF2-40B4-BE49-F238E27FC236}">
              <a16:creationId xmlns:a16="http://schemas.microsoft.com/office/drawing/2014/main" id="{8D916A08-5458-446E-B3DD-B619E3F2984A}"/>
            </a:ext>
          </a:extLst>
        </xdr:cNvPr>
        <xdr:cNvSpPr/>
      </xdr:nvSpPr>
      <xdr:spPr>
        <a:xfrm>
          <a:off x="15335250" y="1451927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265</xdr:row>
      <xdr:rowOff>0</xdr:rowOff>
    </xdr:from>
    <xdr:to>
      <xdr:col>27</xdr:col>
      <xdr:colOff>0</xdr:colOff>
      <xdr:row>266</xdr:row>
      <xdr:rowOff>0</xdr:rowOff>
    </xdr:to>
    <xdr:sp macro="" textlink="">
      <xdr:nvSpPr>
        <xdr:cNvPr id="1238" name="OpenSolverD266:AA266">
          <a:extLst>
            <a:ext uri="{FF2B5EF4-FFF2-40B4-BE49-F238E27FC236}">
              <a16:creationId xmlns:a16="http://schemas.microsoft.com/office/drawing/2014/main" id="{F0BA0955-28DF-4E83-8C32-56CBFDB11C7F}"/>
            </a:ext>
          </a:extLst>
        </xdr:cNvPr>
        <xdr:cNvSpPr/>
      </xdr:nvSpPr>
      <xdr:spPr>
        <a:xfrm>
          <a:off x="2038350" y="48806100"/>
          <a:ext cx="17983200" cy="18415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CC33"/>
              </a:solidFill>
            </a:rPr>
            <a:t>9000≥,500≤</a:t>
          </a:r>
        </a:p>
      </xdr:txBody>
    </xdr:sp>
    <xdr:clientData/>
  </xdr:twoCellAnchor>
  <xdr:twoCellAnchor>
    <xdr:from>
      <xdr:col>3</xdr:col>
      <xdr:colOff>0</xdr:colOff>
      <xdr:row>264</xdr:row>
      <xdr:rowOff>0</xdr:rowOff>
    </xdr:from>
    <xdr:to>
      <xdr:col>27</xdr:col>
      <xdr:colOff>0</xdr:colOff>
      <xdr:row>265</xdr:row>
      <xdr:rowOff>0</xdr:rowOff>
    </xdr:to>
    <xdr:sp macro="" textlink="">
      <xdr:nvSpPr>
        <xdr:cNvPr id="1239" name="OpenSolverD265:AA265">
          <a:extLst>
            <a:ext uri="{FF2B5EF4-FFF2-40B4-BE49-F238E27FC236}">
              <a16:creationId xmlns:a16="http://schemas.microsoft.com/office/drawing/2014/main" id="{4420BDD8-3564-429E-8A42-7BB3278D5927}"/>
            </a:ext>
          </a:extLst>
        </xdr:cNvPr>
        <xdr:cNvSpPr/>
      </xdr:nvSpPr>
      <xdr:spPr>
        <a:xfrm>
          <a:off x="2038350" y="48621950"/>
          <a:ext cx="17983200" cy="18415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FF6600"/>
              </a:solidFill>
            </a:rPr>
            <a:t>8000≥</a:t>
          </a:r>
        </a:p>
      </xdr:txBody>
    </xdr:sp>
    <xdr:clientData/>
  </xdr:twoCellAnchor>
  <xdr:twoCellAnchor>
    <xdr:from>
      <xdr:col>3</xdr:col>
      <xdr:colOff>0</xdr:colOff>
      <xdr:row>285</xdr:row>
      <xdr:rowOff>0</xdr:rowOff>
    </xdr:from>
    <xdr:to>
      <xdr:col>27</xdr:col>
      <xdr:colOff>0</xdr:colOff>
      <xdr:row>286</xdr:row>
      <xdr:rowOff>0</xdr:rowOff>
    </xdr:to>
    <xdr:sp macro="" textlink="">
      <xdr:nvSpPr>
        <xdr:cNvPr id="1240" name="OpenSolverD286:AA286">
          <a:extLst>
            <a:ext uri="{FF2B5EF4-FFF2-40B4-BE49-F238E27FC236}">
              <a16:creationId xmlns:a16="http://schemas.microsoft.com/office/drawing/2014/main" id="{64F90CBB-6D24-4B21-8C68-282DDE506CE7}"/>
            </a:ext>
          </a:extLst>
        </xdr:cNvPr>
        <xdr:cNvSpPr/>
      </xdr:nvSpPr>
      <xdr:spPr>
        <a:xfrm>
          <a:off x="2038350" y="52489100"/>
          <a:ext cx="17983200" cy="18415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CC0099"/>
              </a:solidFill>
            </a:rPr>
            <a:t>3000≥</a:t>
          </a:r>
        </a:p>
      </xdr:txBody>
    </xdr:sp>
    <xdr:clientData/>
  </xdr:twoCellAnchor>
  <xdr:twoCellAnchor>
    <xdr:from>
      <xdr:col>3</xdr:col>
      <xdr:colOff>0</xdr:colOff>
      <xdr:row>262</xdr:row>
      <xdr:rowOff>0</xdr:rowOff>
    </xdr:from>
    <xdr:to>
      <xdr:col>27</xdr:col>
      <xdr:colOff>0</xdr:colOff>
      <xdr:row>263</xdr:row>
      <xdr:rowOff>0</xdr:rowOff>
    </xdr:to>
    <xdr:sp macro="" textlink="">
      <xdr:nvSpPr>
        <xdr:cNvPr id="1241" name="OpenSolverD263:AA263">
          <a:extLst>
            <a:ext uri="{FF2B5EF4-FFF2-40B4-BE49-F238E27FC236}">
              <a16:creationId xmlns:a16="http://schemas.microsoft.com/office/drawing/2014/main" id="{8FD52D0D-0C09-43CE-811F-E9397EF47C99}"/>
            </a:ext>
          </a:extLst>
        </xdr:cNvPr>
        <xdr:cNvSpPr/>
      </xdr:nvSpPr>
      <xdr:spPr>
        <a:xfrm>
          <a:off x="2038350" y="48253650"/>
          <a:ext cx="17983200" cy="1841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00FF"/>
              </a:solidFill>
            </a:rPr>
            <a:t>2300≥</a:t>
          </a:r>
        </a:p>
      </xdr:txBody>
    </xdr:sp>
    <xdr:clientData/>
  </xdr:twoCellAnchor>
  <xdr:twoCellAnchor>
    <xdr:from>
      <xdr:col>3</xdr:col>
      <xdr:colOff>0</xdr:colOff>
      <xdr:row>154</xdr:row>
      <xdr:rowOff>0</xdr:rowOff>
    </xdr:from>
    <xdr:to>
      <xdr:col>4</xdr:col>
      <xdr:colOff>0</xdr:colOff>
      <xdr:row>155</xdr:row>
      <xdr:rowOff>0</xdr:rowOff>
    </xdr:to>
    <xdr:sp macro="" textlink="">
      <xdr:nvSpPr>
        <xdr:cNvPr id="1242" name="OpenSolver252">
          <a:extLst>
            <a:ext uri="{FF2B5EF4-FFF2-40B4-BE49-F238E27FC236}">
              <a16:creationId xmlns:a16="http://schemas.microsoft.com/office/drawing/2014/main" id="{A79A42DF-79A0-418F-95BC-6C2A6071A1B5}"/>
            </a:ext>
          </a:extLst>
        </xdr:cNvPr>
        <xdr:cNvSpPr/>
      </xdr:nvSpPr>
      <xdr:spPr>
        <a:xfrm>
          <a:off x="2038350" y="28365450"/>
          <a:ext cx="749300" cy="1841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6</xdr:col>
      <xdr:colOff>0</xdr:colOff>
      <xdr:row>154</xdr:row>
      <xdr:rowOff>0</xdr:rowOff>
    </xdr:from>
    <xdr:to>
      <xdr:col>7</xdr:col>
      <xdr:colOff>0</xdr:colOff>
      <xdr:row>155</xdr:row>
      <xdr:rowOff>0</xdr:rowOff>
    </xdr:to>
    <xdr:sp macro="" textlink="">
      <xdr:nvSpPr>
        <xdr:cNvPr id="1243" name="OpenSolver253">
          <a:extLst>
            <a:ext uri="{FF2B5EF4-FFF2-40B4-BE49-F238E27FC236}">
              <a16:creationId xmlns:a16="http://schemas.microsoft.com/office/drawing/2014/main" id="{1272A72A-768B-495D-9ACF-00AC2A750011}"/>
            </a:ext>
          </a:extLst>
        </xdr:cNvPr>
        <xdr:cNvSpPr/>
      </xdr:nvSpPr>
      <xdr:spPr>
        <a:xfrm>
          <a:off x="4286250" y="28365450"/>
          <a:ext cx="749300" cy="1841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8000"/>
              </a:solidFill>
            </a:rPr>
            <a:t>≥</a:t>
          </a:r>
        </a:p>
      </xdr:txBody>
    </xdr:sp>
    <xdr:clientData/>
  </xdr:twoCellAnchor>
  <xdr:twoCellAnchor>
    <xdr:from>
      <xdr:col>4</xdr:col>
      <xdr:colOff>0</xdr:colOff>
      <xdr:row>154</xdr:row>
      <xdr:rowOff>92075</xdr:rowOff>
    </xdr:from>
    <xdr:to>
      <xdr:col>6</xdr:col>
      <xdr:colOff>0</xdr:colOff>
      <xdr:row>154</xdr:row>
      <xdr:rowOff>92075</xdr:rowOff>
    </xdr:to>
    <xdr:cxnSp macro="">
      <xdr:nvCxnSpPr>
        <xdr:cNvPr id="1244" name="OpenSolver254">
          <a:extLst>
            <a:ext uri="{FF2B5EF4-FFF2-40B4-BE49-F238E27FC236}">
              <a16:creationId xmlns:a16="http://schemas.microsoft.com/office/drawing/2014/main" id="{58587EEB-05AE-4FA7-9970-7548008B2998}"/>
            </a:ext>
          </a:extLst>
        </xdr:cNvPr>
        <xdr:cNvCxnSpPr>
          <a:stCxn id="1242" idx="3"/>
          <a:endCxn id="1243" idx="1"/>
        </xdr:cNvCxnSpPr>
      </xdr:nvCxnSpPr>
      <xdr:spPr>
        <a:xfrm>
          <a:off x="2787650" y="28457525"/>
          <a:ext cx="149860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558800</xdr:colOff>
      <xdr:row>153</xdr:row>
      <xdr:rowOff>149225</xdr:rowOff>
    </xdr:from>
    <xdr:to>
      <xdr:col>5</xdr:col>
      <xdr:colOff>190500</xdr:colOff>
      <xdr:row>155</xdr:row>
      <xdr:rowOff>34925</xdr:rowOff>
    </xdr:to>
    <xdr:sp macro="" textlink="">
      <xdr:nvSpPr>
        <xdr:cNvPr id="1245" name="OpenSolver255">
          <a:extLst>
            <a:ext uri="{FF2B5EF4-FFF2-40B4-BE49-F238E27FC236}">
              <a16:creationId xmlns:a16="http://schemas.microsoft.com/office/drawing/2014/main" id="{869098C9-5A14-4FE0-9EEB-8320ACE7EC83}"/>
            </a:ext>
          </a:extLst>
        </xdr:cNvPr>
        <xdr:cNvSpPr/>
      </xdr:nvSpPr>
      <xdr:spPr>
        <a:xfrm>
          <a:off x="3346450" y="283305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217</xdr:row>
      <xdr:rowOff>0</xdr:rowOff>
    </xdr:from>
    <xdr:to>
      <xdr:col>27</xdr:col>
      <xdr:colOff>0</xdr:colOff>
      <xdr:row>218</xdr:row>
      <xdr:rowOff>0</xdr:rowOff>
    </xdr:to>
    <xdr:sp macro="" textlink="">
      <xdr:nvSpPr>
        <xdr:cNvPr id="1246" name="OpenSolver256">
          <a:extLst>
            <a:ext uri="{FF2B5EF4-FFF2-40B4-BE49-F238E27FC236}">
              <a16:creationId xmlns:a16="http://schemas.microsoft.com/office/drawing/2014/main" id="{02FE01B8-B199-41F8-8AC4-63815093EAE6}"/>
            </a:ext>
          </a:extLst>
        </xdr:cNvPr>
        <xdr:cNvSpPr/>
      </xdr:nvSpPr>
      <xdr:spPr>
        <a:xfrm>
          <a:off x="2038350" y="39966900"/>
          <a:ext cx="17983200" cy="18415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3</xdr:col>
      <xdr:colOff>12700</xdr:colOff>
      <xdr:row>223</xdr:row>
      <xdr:rowOff>12700</xdr:rowOff>
    </xdr:from>
    <xdr:to>
      <xdr:col>27</xdr:col>
      <xdr:colOff>0</xdr:colOff>
      <xdr:row>224</xdr:row>
      <xdr:rowOff>0</xdr:rowOff>
    </xdr:to>
    <xdr:sp macro="" textlink="">
      <xdr:nvSpPr>
        <xdr:cNvPr id="1247" name="OpenSolver257">
          <a:extLst>
            <a:ext uri="{FF2B5EF4-FFF2-40B4-BE49-F238E27FC236}">
              <a16:creationId xmlns:a16="http://schemas.microsoft.com/office/drawing/2014/main" id="{220D8F3D-061A-4FD8-AA4E-130984A35FBA}"/>
            </a:ext>
          </a:extLst>
        </xdr:cNvPr>
        <xdr:cNvSpPr/>
      </xdr:nvSpPr>
      <xdr:spPr>
        <a:xfrm>
          <a:off x="2051050" y="41084500"/>
          <a:ext cx="17970500" cy="17145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9900CC"/>
              </a:solidFill>
            </a:rPr>
            <a:t>≤</a:t>
          </a:r>
        </a:p>
      </xdr:txBody>
    </xdr:sp>
    <xdr:clientData/>
  </xdr:twoCellAnchor>
  <xdr:twoCellAnchor>
    <xdr:from>
      <xdr:col>15</xdr:col>
      <xdr:colOff>0</xdr:colOff>
      <xdr:row>218</xdr:row>
      <xdr:rowOff>0</xdr:rowOff>
    </xdr:from>
    <xdr:to>
      <xdr:col>15</xdr:col>
      <xdr:colOff>6350</xdr:colOff>
      <xdr:row>223</xdr:row>
      <xdr:rowOff>12700</xdr:rowOff>
    </xdr:to>
    <xdr:cxnSp macro="">
      <xdr:nvCxnSpPr>
        <xdr:cNvPr id="1248" name="OpenSolver258">
          <a:extLst>
            <a:ext uri="{FF2B5EF4-FFF2-40B4-BE49-F238E27FC236}">
              <a16:creationId xmlns:a16="http://schemas.microsoft.com/office/drawing/2014/main" id="{9599BFAA-F828-46D8-B2D8-6303D46D387F}"/>
            </a:ext>
          </a:extLst>
        </xdr:cNvPr>
        <xdr:cNvCxnSpPr>
          <a:stCxn id="1246" idx="2"/>
          <a:endCxn id="1247" idx="0"/>
        </xdr:cNvCxnSpPr>
      </xdr:nvCxnSpPr>
      <xdr:spPr>
        <a:xfrm>
          <a:off x="11029950" y="40151050"/>
          <a:ext cx="6350" cy="93345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561975</xdr:colOff>
      <xdr:row>219</xdr:row>
      <xdr:rowOff>155572</xdr:rowOff>
    </xdr:from>
    <xdr:to>
      <xdr:col>15</xdr:col>
      <xdr:colOff>193675</xdr:colOff>
      <xdr:row>221</xdr:row>
      <xdr:rowOff>41272</xdr:rowOff>
    </xdr:to>
    <xdr:sp macro="" textlink="">
      <xdr:nvSpPr>
        <xdr:cNvPr id="1249" name="OpenSolver259">
          <a:extLst>
            <a:ext uri="{FF2B5EF4-FFF2-40B4-BE49-F238E27FC236}">
              <a16:creationId xmlns:a16="http://schemas.microsoft.com/office/drawing/2014/main" id="{F3CB8D20-A0FA-453E-907C-926604192EC3}"/>
            </a:ext>
          </a:extLst>
        </xdr:cNvPr>
        <xdr:cNvSpPr/>
      </xdr:nvSpPr>
      <xdr:spPr>
        <a:xfrm>
          <a:off x="10842625" y="40490772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238</xdr:row>
      <xdr:rowOff>0</xdr:rowOff>
    </xdr:from>
    <xdr:to>
      <xdr:col>27</xdr:col>
      <xdr:colOff>0</xdr:colOff>
      <xdr:row>239</xdr:row>
      <xdr:rowOff>0</xdr:rowOff>
    </xdr:to>
    <xdr:sp macro="" textlink="">
      <xdr:nvSpPr>
        <xdr:cNvPr id="1250" name="OpenSolver260">
          <a:extLst>
            <a:ext uri="{FF2B5EF4-FFF2-40B4-BE49-F238E27FC236}">
              <a16:creationId xmlns:a16="http://schemas.microsoft.com/office/drawing/2014/main" id="{3AF6BC1F-AC07-4492-83CB-EC2D6579A6E2}"/>
            </a:ext>
          </a:extLst>
        </xdr:cNvPr>
        <xdr:cNvSpPr/>
      </xdr:nvSpPr>
      <xdr:spPr>
        <a:xfrm>
          <a:off x="2038350" y="43834050"/>
          <a:ext cx="17983200" cy="18415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3</xdr:col>
      <xdr:colOff>0</xdr:colOff>
      <xdr:row>240</xdr:row>
      <xdr:rowOff>0</xdr:rowOff>
    </xdr:from>
    <xdr:to>
      <xdr:col>27</xdr:col>
      <xdr:colOff>0</xdr:colOff>
      <xdr:row>241</xdr:row>
      <xdr:rowOff>0</xdr:rowOff>
    </xdr:to>
    <xdr:sp macro="" textlink="">
      <xdr:nvSpPr>
        <xdr:cNvPr id="1251" name="OpenSolver261">
          <a:extLst>
            <a:ext uri="{FF2B5EF4-FFF2-40B4-BE49-F238E27FC236}">
              <a16:creationId xmlns:a16="http://schemas.microsoft.com/office/drawing/2014/main" id="{C1DA5E48-F3DE-4E4C-A0D1-4DA4385EDC9B}"/>
            </a:ext>
          </a:extLst>
        </xdr:cNvPr>
        <xdr:cNvSpPr/>
      </xdr:nvSpPr>
      <xdr:spPr>
        <a:xfrm>
          <a:off x="2038350" y="44202350"/>
          <a:ext cx="17983200" cy="18415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800000"/>
              </a:solidFill>
            </a:rPr>
            <a:t>≤</a:t>
          </a:r>
        </a:p>
      </xdr:txBody>
    </xdr:sp>
    <xdr:clientData/>
  </xdr:twoCellAnchor>
  <xdr:twoCellAnchor>
    <xdr:from>
      <xdr:col>15</xdr:col>
      <xdr:colOff>0</xdr:colOff>
      <xdr:row>239</xdr:row>
      <xdr:rowOff>0</xdr:rowOff>
    </xdr:from>
    <xdr:to>
      <xdr:col>15</xdr:col>
      <xdr:colOff>0</xdr:colOff>
      <xdr:row>240</xdr:row>
      <xdr:rowOff>0</xdr:rowOff>
    </xdr:to>
    <xdr:cxnSp macro="">
      <xdr:nvCxnSpPr>
        <xdr:cNvPr id="1252" name="OpenSolver262">
          <a:extLst>
            <a:ext uri="{FF2B5EF4-FFF2-40B4-BE49-F238E27FC236}">
              <a16:creationId xmlns:a16="http://schemas.microsoft.com/office/drawing/2014/main" id="{D7360776-E632-4408-8F9D-3A81C5D4D002}"/>
            </a:ext>
          </a:extLst>
        </xdr:cNvPr>
        <xdr:cNvCxnSpPr>
          <a:stCxn id="1250" idx="2"/>
          <a:endCxn id="1251" idx="0"/>
        </xdr:cNvCxnSpPr>
      </xdr:nvCxnSpPr>
      <xdr:spPr>
        <a:xfrm>
          <a:off x="11029950" y="44018200"/>
          <a:ext cx="0" cy="18415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558800</xdr:colOff>
      <xdr:row>238</xdr:row>
      <xdr:rowOff>149225</xdr:rowOff>
    </xdr:from>
    <xdr:to>
      <xdr:col>15</xdr:col>
      <xdr:colOff>190500</xdr:colOff>
      <xdr:row>240</xdr:row>
      <xdr:rowOff>34925</xdr:rowOff>
    </xdr:to>
    <xdr:sp macro="" textlink="">
      <xdr:nvSpPr>
        <xdr:cNvPr id="1253" name="OpenSolver263">
          <a:extLst>
            <a:ext uri="{FF2B5EF4-FFF2-40B4-BE49-F238E27FC236}">
              <a16:creationId xmlns:a16="http://schemas.microsoft.com/office/drawing/2014/main" id="{FAC0C1AE-01CB-463B-A711-56A24FD25226}"/>
            </a:ext>
          </a:extLst>
        </xdr:cNvPr>
        <xdr:cNvSpPr/>
      </xdr:nvSpPr>
      <xdr:spPr>
        <a:xfrm>
          <a:off x="10839450" y="4398327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243</xdr:row>
      <xdr:rowOff>0</xdr:rowOff>
    </xdr:from>
    <xdr:to>
      <xdr:col>27</xdr:col>
      <xdr:colOff>0</xdr:colOff>
      <xdr:row>244</xdr:row>
      <xdr:rowOff>0</xdr:rowOff>
    </xdr:to>
    <xdr:sp macro="" textlink="">
      <xdr:nvSpPr>
        <xdr:cNvPr id="1254" name="OpenSolver264">
          <a:extLst>
            <a:ext uri="{FF2B5EF4-FFF2-40B4-BE49-F238E27FC236}">
              <a16:creationId xmlns:a16="http://schemas.microsoft.com/office/drawing/2014/main" id="{241CD308-E80F-4C61-AFEF-61805571C41D}"/>
            </a:ext>
          </a:extLst>
        </xdr:cNvPr>
        <xdr:cNvSpPr/>
      </xdr:nvSpPr>
      <xdr:spPr>
        <a:xfrm>
          <a:off x="2038350" y="44754800"/>
          <a:ext cx="17983200" cy="18415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3</xdr:col>
      <xdr:colOff>0</xdr:colOff>
      <xdr:row>244</xdr:row>
      <xdr:rowOff>0</xdr:rowOff>
    </xdr:from>
    <xdr:to>
      <xdr:col>27</xdr:col>
      <xdr:colOff>0</xdr:colOff>
      <xdr:row>245</xdr:row>
      <xdr:rowOff>0</xdr:rowOff>
    </xdr:to>
    <xdr:sp macro="" textlink="">
      <xdr:nvSpPr>
        <xdr:cNvPr id="1255" name="OpenSolver265">
          <a:extLst>
            <a:ext uri="{FF2B5EF4-FFF2-40B4-BE49-F238E27FC236}">
              <a16:creationId xmlns:a16="http://schemas.microsoft.com/office/drawing/2014/main" id="{CBB26EB2-B702-4A2D-874B-2195A4346FA6}"/>
            </a:ext>
          </a:extLst>
        </xdr:cNvPr>
        <xdr:cNvSpPr/>
      </xdr:nvSpPr>
      <xdr:spPr>
        <a:xfrm>
          <a:off x="2038350" y="44938950"/>
          <a:ext cx="17983200" cy="18415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CC33"/>
              </a:solidFill>
            </a:rPr>
            <a:t>≤</a:t>
          </a:r>
        </a:p>
      </xdr:txBody>
    </xdr:sp>
    <xdr:clientData/>
  </xdr:twoCellAnchor>
  <xdr:twoCellAnchor>
    <xdr:from>
      <xdr:col>15</xdr:col>
      <xdr:colOff>0</xdr:colOff>
      <xdr:row>244</xdr:row>
      <xdr:rowOff>0</xdr:rowOff>
    </xdr:from>
    <xdr:to>
      <xdr:col>15</xdr:col>
      <xdr:colOff>0</xdr:colOff>
      <xdr:row>244</xdr:row>
      <xdr:rowOff>0</xdr:rowOff>
    </xdr:to>
    <xdr:cxnSp macro="">
      <xdr:nvCxnSpPr>
        <xdr:cNvPr id="1256" name="OpenSolver266">
          <a:extLst>
            <a:ext uri="{FF2B5EF4-FFF2-40B4-BE49-F238E27FC236}">
              <a16:creationId xmlns:a16="http://schemas.microsoft.com/office/drawing/2014/main" id="{4AF028B8-EE6B-4183-901A-F71D273AEBFA}"/>
            </a:ext>
          </a:extLst>
        </xdr:cNvPr>
        <xdr:cNvCxnSpPr>
          <a:stCxn id="1254" idx="2"/>
          <a:endCxn id="1255" idx="0"/>
        </xdr:cNvCxnSpPr>
      </xdr:nvCxnSpPr>
      <xdr:spPr>
        <a:xfrm>
          <a:off x="11029950" y="44938950"/>
          <a:ext cx="0" cy="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558800</xdr:colOff>
      <xdr:row>243</xdr:row>
      <xdr:rowOff>57153</xdr:rowOff>
    </xdr:from>
    <xdr:to>
      <xdr:col>15</xdr:col>
      <xdr:colOff>190500</xdr:colOff>
      <xdr:row>244</xdr:row>
      <xdr:rowOff>127003</xdr:rowOff>
    </xdr:to>
    <xdr:sp macro="" textlink="">
      <xdr:nvSpPr>
        <xdr:cNvPr id="1257" name="OpenSolver267">
          <a:extLst>
            <a:ext uri="{FF2B5EF4-FFF2-40B4-BE49-F238E27FC236}">
              <a16:creationId xmlns:a16="http://schemas.microsoft.com/office/drawing/2014/main" id="{164622CF-441A-4987-AC9A-0BCD48E06854}"/>
            </a:ext>
          </a:extLst>
        </xdr:cNvPr>
        <xdr:cNvSpPr/>
      </xdr:nvSpPr>
      <xdr:spPr>
        <a:xfrm>
          <a:off x="10839450" y="44811953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247</xdr:row>
      <xdr:rowOff>0</xdr:rowOff>
    </xdr:from>
    <xdr:to>
      <xdr:col>27</xdr:col>
      <xdr:colOff>0</xdr:colOff>
      <xdr:row>248</xdr:row>
      <xdr:rowOff>0</xdr:rowOff>
    </xdr:to>
    <xdr:sp macro="" textlink="">
      <xdr:nvSpPr>
        <xdr:cNvPr id="1258" name="OpenSolver269">
          <a:extLst>
            <a:ext uri="{FF2B5EF4-FFF2-40B4-BE49-F238E27FC236}">
              <a16:creationId xmlns:a16="http://schemas.microsoft.com/office/drawing/2014/main" id="{59849F49-1D09-4F6B-B608-48E5087F283C}"/>
            </a:ext>
          </a:extLst>
        </xdr:cNvPr>
        <xdr:cNvSpPr/>
      </xdr:nvSpPr>
      <xdr:spPr>
        <a:xfrm>
          <a:off x="2038350" y="45491400"/>
          <a:ext cx="17983200" cy="18415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3</xdr:col>
      <xdr:colOff>0</xdr:colOff>
      <xdr:row>248</xdr:row>
      <xdr:rowOff>0</xdr:rowOff>
    </xdr:from>
    <xdr:to>
      <xdr:col>27</xdr:col>
      <xdr:colOff>0</xdr:colOff>
      <xdr:row>249</xdr:row>
      <xdr:rowOff>0</xdr:rowOff>
    </xdr:to>
    <xdr:sp macro="" textlink="">
      <xdr:nvSpPr>
        <xdr:cNvPr id="1259" name="OpenSolver270">
          <a:extLst>
            <a:ext uri="{FF2B5EF4-FFF2-40B4-BE49-F238E27FC236}">
              <a16:creationId xmlns:a16="http://schemas.microsoft.com/office/drawing/2014/main" id="{EDF2C2F1-CF8A-4407-9347-A36F35565E31}"/>
            </a:ext>
          </a:extLst>
        </xdr:cNvPr>
        <xdr:cNvSpPr/>
      </xdr:nvSpPr>
      <xdr:spPr>
        <a:xfrm>
          <a:off x="2038350" y="45675550"/>
          <a:ext cx="17983200" cy="18415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CC0099"/>
              </a:solidFill>
            </a:rPr>
            <a:t>≤</a:t>
          </a:r>
        </a:p>
      </xdr:txBody>
    </xdr:sp>
    <xdr:clientData/>
  </xdr:twoCellAnchor>
  <xdr:twoCellAnchor>
    <xdr:from>
      <xdr:col>15</xdr:col>
      <xdr:colOff>0</xdr:colOff>
      <xdr:row>248</xdr:row>
      <xdr:rowOff>0</xdr:rowOff>
    </xdr:from>
    <xdr:to>
      <xdr:col>15</xdr:col>
      <xdr:colOff>0</xdr:colOff>
      <xdr:row>248</xdr:row>
      <xdr:rowOff>0</xdr:rowOff>
    </xdr:to>
    <xdr:cxnSp macro="">
      <xdr:nvCxnSpPr>
        <xdr:cNvPr id="1260" name="OpenSolver271">
          <a:extLst>
            <a:ext uri="{FF2B5EF4-FFF2-40B4-BE49-F238E27FC236}">
              <a16:creationId xmlns:a16="http://schemas.microsoft.com/office/drawing/2014/main" id="{EE29A701-4A58-440C-985A-7D477F486930}"/>
            </a:ext>
          </a:extLst>
        </xdr:cNvPr>
        <xdr:cNvCxnSpPr>
          <a:stCxn id="1258" idx="2"/>
          <a:endCxn id="1259" idx="0"/>
        </xdr:cNvCxnSpPr>
      </xdr:nvCxnSpPr>
      <xdr:spPr>
        <a:xfrm>
          <a:off x="11029950" y="45675550"/>
          <a:ext cx="0" cy="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558800</xdr:colOff>
      <xdr:row>247</xdr:row>
      <xdr:rowOff>57153</xdr:rowOff>
    </xdr:from>
    <xdr:to>
      <xdr:col>15</xdr:col>
      <xdr:colOff>190500</xdr:colOff>
      <xdr:row>248</xdr:row>
      <xdr:rowOff>127003</xdr:rowOff>
    </xdr:to>
    <xdr:sp macro="" textlink="">
      <xdr:nvSpPr>
        <xdr:cNvPr id="1261" name="OpenSolver272">
          <a:extLst>
            <a:ext uri="{FF2B5EF4-FFF2-40B4-BE49-F238E27FC236}">
              <a16:creationId xmlns:a16="http://schemas.microsoft.com/office/drawing/2014/main" id="{F7C3968B-F63C-4136-B0E3-857B51D12BCB}"/>
            </a:ext>
          </a:extLst>
        </xdr:cNvPr>
        <xdr:cNvSpPr/>
      </xdr:nvSpPr>
      <xdr:spPr>
        <a:xfrm>
          <a:off x="10839450" y="45548553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293</xdr:row>
      <xdr:rowOff>0</xdr:rowOff>
    </xdr:from>
    <xdr:to>
      <xdr:col>27</xdr:col>
      <xdr:colOff>0</xdr:colOff>
      <xdr:row>294</xdr:row>
      <xdr:rowOff>0</xdr:rowOff>
    </xdr:to>
    <xdr:sp macro="" textlink="">
      <xdr:nvSpPr>
        <xdr:cNvPr id="1262" name="OpenSolverD294:AA294">
          <a:extLst>
            <a:ext uri="{FF2B5EF4-FFF2-40B4-BE49-F238E27FC236}">
              <a16:creationId xmlns:a16="http://schemas.microsoft.com/office/drawing/2014/main" id="{81F78B41-57A9-4329-B132-2B0DC9E3EC53}"/>
            </a:ext>
          </a:extLst>
        </xdr:cNvPr>
        <xdr:cNvSpPr/>
      </xdr:nvSpPr>
      <xdr:spPr>
        <a:xfrm>
          <a:off x="2038350" y="53962300"/>
          <a:ext cx="17983200" cy="1841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00FF"/>
              </a:solidFill>
            </a:rPr>
            <a:t>2700≥</a:t>
          </a:r>
        </a:p>
      </xdr:txBody>
    </xdr:sp>
    <xdr:clientData/>
  </xdr:twoCellAnchor>
  <xdr:twoCellAnchor>
    <xdr:from>
      <xdr:col>3</xdr:col>
      <xdr:colOff>0</xdr:colOff>
      <xdr:row>83</xdr:row>
      <xdr:rowOff>0</xdr:rowOff>
    </xdr:from>
    <xdr:to>
      <xdr:col>27</xdr:col>
      <xdr:colOff>0</xdr:colOff>
      <xdr:row>84</xdr:row>
      <xdr:rowOff>0</xdr:rowOff>
    </xdr:to>
    <xdr:sp macro="" textlink="">
      <xdr:nvSpPr>
        <xdr:cNvPr id="1263" name="OpenSolver274">
          <a:extLst>
            <a:ext uri="{FF2B5EF4-FFF2-40B4-BE49-F238E27FC236}">
              <a16:creationId xmlns:a16="http://schemas.microsoft.com/office/drawing/2014/main" id="{A883D9F4-6DC6-4FBD-9658-E8E5BEFEC843}"/>
            </a:ext>
          </a:extLst>
        </xdr:cNvPr>
        <xdr:cNvSpPr/>
      </xdr:nvSpPr>
      <xdr:spPr>
        <a:xfrm>
          <a:off x="2038350" y="15290800"/>
          <a:ext cx="17983200" cy="1841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3</xdr:col>
      <xdr:colOff>0</xdr:colOff>
      <xdr:row>270</xdr:row>
      <xdr:rowOff>0</xdr:rowOff>
    </xdr:from>
    <xdr:to>
      <xdr:col>27</xdr:col>
      <xdr:colOff>0</xdr:colOff>
      <xdr:row>271</xdr:row>
      <xdr:rowOff>0</xdr:rowOff>
    </xdr:to>
    <xdr:sp macro="" textlink="">
      <xdr:nvSpPr>
        <xdr:cNvPr id="1264" name="OpenSolver275">
          <a:extLst>
            <a:ext uri="{FF2B5EF4-FFF2-40B4-BE49-F238E27FC236}">
              <a16:creationId xmlns:a16="http://schemas.microsoft.com/office/drawing/2014/main" id="{FE2EA9A4-244B-4AF5-A202-2ED99EA9FE96}"/>
            </a:ext>
          </a:extLst>
        </xdr:cNvPr>
        <xdr:cNvSpPr/>
      </xdr:nvSpPr>
      <xdr:spPr>
        <a:xfrm>
          <a:off x="2038350" y="49726850"/>
          <a:ext cx="17983200" cy="1841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8000"/>
              </a:solidFill>
            </a:rPr>
            <a:t>≥</a:t>
          </a:r>
        </a:p>
      </xdr:txBody>
    </xdr:sp>
    <xdr:clientData/>
  </xdr:twoCellAnchor>
  <xdr:twoCellAnchor>
    <xdr:from>
      <xdr:col>15</xdr:col>
      <xdr:colOff>0</xdr:colOff>
      <xdr:row>84</xdr:row>
      <xdr:rowOff>0</xdr:rowOff>
    </xdr:from>
    <xdr:to>
      <xdr:col>15</xdr:col>
      <xdr:colOff>0</xdr:colOff>
      <xdr:row>270</xdr:row>
      <xdr:rowOff>0</xdr:rowOff>
    </xdr:to>
    <xdr:cxnSp macro="">
      <xdr:nvCxnSpPr>
        <xdr:cNvPr id="1265" name="OpenSolver276">
          <a:extLst>
            <a:ext uri="{FF2B5EF4-FFF2-40B4-BE49-F238E27FC236}">
              <a16:creationId xmlns:a16="http://schemas.microsoft.com/office/drawing/2014/main" id="{1F7B5D3F-F883-4B04-87D8-C457B22920CA}"/>
            </a:ext>
          </a:extLst>
        </xdr:cNvPr>
        <xdr:cNvCxnSpPr>
          <a:stCxn id="1263" idx="2"/>
          <a:endCxn id="1264" idx="0"/>
        </xdr:cNvCxnSpPr>
      </xdr:nvCxnSpPr>
      <xdr:spPr>
        <a:xfrm>
          <a:off x="11029950" y="15474950"/>
          <a:ext cx="0" cy="3425190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558800</xdr:colOff>
      <xdr:row>176</xdr:row>
      <xdr:rowOff>57150</xdr:rowOff>
    </xdr:from>
    <xdr:to>
      <xdr:col>15</xdr:col>
      <xdr:colOff>190500</xdr:colOff>
      <xdr:row>177</xdr:row>
      <xdr:rowOff>127000</xdr:rowOff>
    </xdr:to>
    <xdr:sp macro="" textlink="">
      <xdr:nvSpPr>
        <xdr:cNvPr id="1266" name="OpenSolver277">
          <a:extLst>
            <a:ext uri="{FF2B5EF4-FFF2-40B4-BE49-F238E27FC236}">
              <a16:creationId xmlns:a16="http://schemas.microsoft.com/office/drawing/2014/main" id="{30600A8B-5279-4506-ADD8-B1C8E0D3D928}"/>
            </a:ext>
          </a:extLst>
        </xdr:cNvPr>
        <xdr:cNvSpPr/>
      </xdr:nvSpPr>
      <xdr:spPr>
        <a:xfrm>
          <a:off x="10839450" y="324739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296</xdr:row>
      <xdr:rowOff>0</xdr:rowOff>
    </xdr:from>
    <xdr:to>
      <xdr:col>27</xdr:col>
      <xdr:colOff>0</xdr:colOff>
      <xdr:row>297</xdr:row>
      <xdr:rowOff>0</xdr:rowOff>
    </xdr:to>
    <xdr:sp macro="" textlink="">
      <xdr:nvSpPr>
        <xdr:cNvPr id="1267" name="OpenSolverD297:AA297">
          <a:extLst>
            <a:ext uri="{FF2B5EF4-FFF2-40B4-BE49-F238E27FC236}">
              <a16:creationId xmlns:a16="http://schemas.microsoft.com/office/drawing/2014/main" id="{9A0515EE-3BD0-4661-9055-BF627B5959C0}"/>
            </a:ext>
          </a:extLst>
        </xdr:cNvPr>
        <xdr:cNvSpPr/>
      </xdr:nvSpPr>
      <xdr:spPr>
        <a:xfrm>
          <a:off x="2038350" y="54514750"/>
          <a:ext cx="17983200" cy="18415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9900CC"/>
              </a:solidFill>
            </a:rPr>
            <a:t>1500≥</a:t>
          </a:r>
        </a:p>
      </xdr:txBody>
    </xdr:sp>
    <xdr:clientData/>
  </xdr:twoCellAnchor>
  <xdr:twoCellAnchor>
    <xdr:from>
      <xdr:col>3</xdr:col>
      <xdr:colOff>0</xdr:colOff>
      <xdr:row>36</xdr:row>
      <xdr:rowOff>0</xdr:rowOff>
    </xdr:from>
    <xdr:to>
      <xdr:col>27</xdr:col>
      <xdr:colOff>0</xdr:colOff>
      <xdr:row>37</xdr:row>
      <xdr:rowOff>0</xdr:rowOff>
    </xdr:to>
    <xdr:sp macro="" textlink="">
      <xdr:nvSpPr>
        <xdr:cNvPr id="1268" name="OpenSolver279">
          <a:extLst>
            <a:ext uri="{FF2B5EF4-FFF2-40B4-BE49-F238E27FC236}">
              <a16:creationId xmlns:a16="http://schemas.microsoft.com/office/drawing/2014/main" id="{1B8EE9C5-583A-43F7-AE32-83120DD1BFCC}"/>
            </a:ext>
          </a:extLst>
        </xdr:cNvPr>
        <xdr:cNvSpPr/>
      </xdr:nvSpPr>
      <xdr:spPr>
        <a:xfrm>
          <a:off x="2038350" y="6635750"/>
          <a:ext cx="17983200" cy="18415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3</xdr:col>
      <xdr:colOff>0</xdr:colOff>
      <xdr:row>38</xdr:row>
      <xdr:rowOff>0</xdr:rowOff>
    </xdr:from>
    <xdr:to>
      <xdr:col>27</xdr:col>
      <xdr:colOff>0</xdr:colOff>
      <xdr:row>39</xdr:row>
      <xdr:rowOff>0</xdr:rowOff>
    </xdr:to>
    <xdr:sp macro="" textlink="">
      <xdr:nvSpPr>
        <xdr:cNvPr id="1269" name="OpenSolver280">
          <a:extLst>
            <a:ext uri="{FF2B5EF4-FFF2-40B4-BE49-F238E27FC236}">
              <a16:creationId xmlns:a16="http://schemas.microsoft.com/office/drawing/2014/main" id="{8B51BF43-DC44-46C2-9C36-ACFAB92D79E2}"/>
            </a:ext>
          </a:extLst>
        </xdr:cNvPr>
        <xdr:cNvSpPr/>
      </xdr:nvSpPr>
      <xdr:spPr>
        <a:xfrm>
          <a:off x="2038350" y="7004050"/>
          <a:ext cx="17983200" cy="18415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800000"/>
              </a:solidFill>
            </a:rPr>
            <a:t>≤</a:t>
          </a:r>
        </a:p>
      </xdr:txBody>
    </xdr:sp>
    <xdr:clientData/>
  </xdr:twoCellAnchor>
  <xdr:twoCellAnchor>
    <xdr:from>
      <xdr:col>15</xdr:col>
      <xdr:colOff>0</xdr:colOff>
      <xdr:row>37</xdr:row>
      <xdr:rowOff>0</xdr:rowOff>
    </xdr:from>
    <xdr:to>
      <xdr:col>15</xdr:col>
      <xdr:colOff>0</xdr:colOff>
      <xdr:row>38</xdr:row>
      <xdr:rowOff>0</xdr:rowOff>
    </xdr:to>
    <xdr:cxnSp macro="">
      <xdr:nvCxnSpPr>
        <xdr:cNvPr id="1270" name="OpenSolver281">
          <a:extLst>
            <a:ext uri="{FF2B5EF4-FFF2-40B4-BE49-F238E27FC236}">
              <a16:creationId xmlns:a16="http://schemas.microsoft.com/office/drawing/2014/main" id="{CA9150C7-882E-4B1C-A6C9-CCD167D6070A}"/>
            </a:ext>
          </a:extLst>
        </xdr:cNvPr>
        <xdr:cNvCxnSpPr>
          <a:stCxn id="1268" idx="2"/>
          <a:endCxn id="1269" idx="0"/>
        </xdr:cNvCxnSpPr>
      </xdr:nvCxnSpPr>
      <xdr:spPr>
        <a:xfrm>
          <a:off x="11029950" y="6819900"/>
          <a:ext cx="0" cy="18415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558800</xdr:colOff>
      <xdr:row>36</xdr:row>
      <xdr:rowOff>149225</xdr:rowOff>
    </xdr:from>
    <xdr:to>
      <xdr:col>15</xdr:col>
      <xdr:colOff>190500</xdr:colOff>
      <xdr:row>38</xdr:row>
      <xdr:rowOff>34925</xdr:rowOff>
    </xdr:to>
    <xdr:sp macro="" textlink="">
      <xdr:nvSpPr>
        <xdr:cNvPr id="1271" name="OpenSolver282">
          <a:extLst>
            <a:ext uri="{FF2B5EF4-FFF2-40B4-BE49-F238E27FC236}">
              <a16:creationId xmlns:a16="http://schemas.microsoft.com/office/drawing/2014/main" id="{D8854608-773D-49BE-87B7-BEF565C4794E}"/>
            </a:ext>
          </a:extLst>
        </xdr:cNvPr>
        <xdr:cNvSpPr/>
      </xdr:nvSpPr>
      <xdr:spPr>
        <a:xfrm>
          <a:off x="10839450" y="678497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104</xdr:row>
      <xdr:rowOff>0</xdr:rowOff>
    </xdr:from>
    <xdr:to>
      <xdr:col>27</xdr:col>
      <xdr:colOff>0</xdr:colOff>
      <xdr:row>105</xdr:row>
      <xdr:rowOff>0</xdr:rowOff>
    </xdr:to>
    <xdr:sp macro="" textlink="">
      <xdr:nvSpPr>
        <xdr:cNvPr id="1272" name="OpenSolver283">
          <a:extLst>
            <a:ext uri="{FF2B5EF4-FFF2-40B4-BE49-F238E27FC236}">
              <a16:creationId xmlns:a16="http://schemas.microsoft.com/office/drawing/2014/main" id="{805412C8-76CE-4D2B-B331-6F1B577F991B}"/>
            </a:ext>
          </a:extLst>
        </xdr:cNvPr>
        <xdr:cNvSpPr/>
      </xdr:nvSpPr>
      <xdr:spPr>
        <a:xfrm>
          <a:off x="2038350" y="19157950"/>
          <a:ext cx="17983200" cy="18415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3</xdr:col>
      <xdr:colOff>0</xdr:colOff>
      <xdr:row>274</xdr:row>
      <xdr:rowOff>0</xdr:rowOff>
    </xdr:from>
    <xdr:to>
      <xdr:col>27</xdr:col>
      <xdr:colOff>0</xdr:colOff>
      <xdr:row>275</xdr:row>
      <xdr:rowOff>0</xdr:rowOff>
    </xdr:to>
    <xdr:sp macro="" textlink="">
      <xdr:nvSpPr>
        <xdr:cNvPr id="1273" name="OpenSolver284">
          <a:extLst>
            <a:ext uri="{FF2B5EF4-FFF2-40B4-BE49-F238E27FC236}">
              <a16:creationId xmlns:a16="http://schemas.microsoft.com/office/drawing/2014/main" id="{62F55532-922D-4B53-AFE4-988E766EFE32}"/>
            </a:ext>
          </a:extLst>
        </xdr:cNvPr>
        <xdr:cNvSpPr/>
      </xdr:nvSpPr>
      <xdr:spPr>
        <a:xfrm>
          <a:off x="2038350" y="50463450"/>
          <a:ext cx="17983200" cy="18415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CC33"/>
              </a:solidFill>
            </a:rPr>
            <a:t>≥</a:t>
          </a:r>
        </a:p>
      </xdr:txBody>
    </xdr:sp>
    <xdr:clientData/>
  </xdr:twoCellAnchor>
  <xdr:twoCellAnchor>
    <xdr:from>
      <xdr:col>15</xdr:col>
      <xdr:colOff>0</xdr:colOff>
      <xdr:row>105</xdr:row>
      <xdr:rowOff>0</xdr:rowOff>
    </xdr:from>
    <xdr:to>
      <xdr:col>15</xdr:col>
      <xdr:colOff>0</xdr:colOff>
      <xdr:row>274</xdr:row>
      <xdr:rowOff>0</xdr:rowOff>
    </xdr:to>
    <xdr:cxnSp macro="">
      <xdr:nvCxnSpPr>
        <xdr:cNvPr id="1274" name="OpenSolver285">
          <a:extLst>
            <a:ext uri="{FF2B5EF4-FFF2-40B4-BE49-F238E27FC236}">
              <a16:creationId xmlns:a16="http://schemas.microsoft.com/office/drawing/2014/main" id="{042EB469-E1C6-47F8-894E-1247C21AF1A3}"/>
            </a:ext>
          </a:extLst>
        </xdr:cNvPr>
        <xdr:cNvCxnSpPr>
          <a:stCxn id="1272" idx="2"/>
          <a:endCxn id="1273" idx="0"/>
        </xdr:cNvCxnSpPr>
      </xdr:nvCxnSpPr>
      <xdr:spPr>
        <a:xfrm>
          <a:off x="11029950" y="19342100"/>
          <a:ext cx="0" cy="3112135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558800</xdr:colOff>
      <xdr:row>188</xdr:row>
      <xdr:rowOff>149225</xdr:rowOff>
    </xdr:from>
    <xdr:to>
      <xdr:col>15</xdr:col>
      <xdr:colOff>190500</xdr:colOff>
      <xdr:row>190</xdr:row>
      <xdr:rowOff>34925</xdr:rowOff>
    </xdr:to>
    <xdr:sp macro="" textlink="">
      <xdr:nvSpPr>
        <xdr:cNvPr id="1275" name="OpenSolver286">
          <a:extLst>
            <a:ext uri="{FF2B5EF4-FFF2-40B4-BE49-F238E27FC236}">
              <a16:creationId xmlns:a16="http://schemas.microsoft.com/office/drawing/2014/main" id="{5A35E14F-46D6-412D-BFD5-3C22542D37D5}"/>
            </a:ext>
          </a:extLst>
        </xdr:cNvPr>
        <xdr:cNvSpPr/>
      </xdr:nvSpPr>
      <xdr:spPr>
        <a:xfrm>
          <a:off x="10839450" y="3477577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12700</xdr:colOff>
      <xdr:row>36</xdr:row>
      <xdr:rowOff>12700</xdr:rowOff>
    </xdr:from>
    <xdr:to>
      <xdr:col>27</xdr:col>
      <xdr:colOff>0</xdr:colOff>
      <xdr:row>37</xdr:row>
      <xdr:rowOff>0</xdr:rowOff>
    </xdr:to>
    <xdr:sp macro="" textlink="">
      <xdr:nvSpPr>
        <xdr:cNvPr id="1276" name="OpenSolver287">
          <a:extLst>
            <a:ext uri="{FF2B5EF4-FFF2-40B4-BE49-F238E27FC236}">
              <a16:creationId xmlns:a16="http://schemas.microsoft.com/office/drawing/2014/main" id="{2C5D984B-1B07-40C9-914D-6D73F9E8D9A5}"/>
            </a:ext>
          </a:extLst>
        </xdr:cNvPr>
        <xdr:cNvSpPr/>
      </xdr:nvSpPr>
      <xdr:spPr>
        <a:xfrm>
          <a:off x="2051050" y="6648450"/>
          <a:ext cx="17970500" cy="17145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3</xdr:col>
      <xdr:colOff>0</xdr:colOff>
      <xdr:row>37</xdr:row>
      <xdr:rowOff>0</xdr:rowOff>
    </xdr:from>
    <xdr:to>
      <xdr:col>27</xdr:col>
      <xdr:colOff>0</xdr:colOff>
      <xdr:row>38</xdr:row>
      <xdr:rowOff>0</xdr:rowOff>
    </xdr:to>
    <xdr:sp macro="" textlink="">
      <xdr:nvSpPr>
        <xdr:cNvPr id="1277" name="OpenSolver288">
          <a:extLst>
            <a:ext uri="{FF2B5EF4-FFF2-40B4-BE49-F238E27FC236}">
              <a16:creationId xmlns:a16="http://schemas.microsoft.com/office/drawing/2014/main" id="{447318C0-1D04-46A8-9DDD-1C17F3FE1EEA}"/>
            </a:ext>
          </a:extLst>
        </xdr:cNvPr>
        <xdr:cNvSpPr/>
      </xdr:nvSpPr>
      <xdr:spPr>
        <a:xfrm>
          <a:off x="2038350" y="6819900"/>
          <a:ext cx="17983200" cy="18415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FF6600"/>
              </a:solidFill>
            </a:rPr>
            <a:t>≥</a:t>
          </a:r>
        </a:p>
      </xdr:txBody>
    </xdr:sp>
    <xdr:clientData/>
  </xdr:twoCellAnchor>
  <xdr:twoCellAnchor>
    <xdr:from>
      <xdr:col>15</xdr:col>
      <xdr:colOff>0</xdr:colOff>
      <xdr:row>37</xdr:row>
      <xdr:rowOff>0</xdr:rowOff>
    </xdr:from>
    <xdr:to>
      <xdr:col>15</xdr:col>
      <xdr:colOff>6350</xdr:colOff>
      <xdr:row>37</xdr:row>
      <xdr:rowOff>0</xdr:rowOff>
    </xdr:to>
    <xdr:cxnSp macro="">
      <xdr:nvCxnSpPr>
        <xdr:cNvPr id="1278" name="OpenSolver289">
          <a:extLst>
            <a:ext uri="{FF2B5EF4-FFF2-40B4-BE49-F238E27FC236}">
              <a16:creationId xmlns:a16="http://schemas.microsoft.com/office/drawing/2014/main" id="{C852F18D-8BC6-422B-B81D-637F4CF4EDD4}"/>
            </a:ext>
          </a:extLst>
        </xdr:cNvPr>
        <xdr:cNvCxnSpPr>
          <a:stCxn id="1276" idx="2"/>
          <a:endCxn id="1277" idx="0"/>
        </xdr:cNvCxnSpPr>
      </xdr:nvCxnSpPr>
      <xdr:spPr>
        <a:xfrm flipH="1">
          <a:off x="11029950" y="6819900"/>
          <a:ext cx="6350" cy="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561975</xdr:colOff>
      <xdr:row>36</xdr:row>
      <xdr:rowOff>57150</xdr:rowOff>
    </xdr:from>
    <xdr:to>
      <xdr:col>15</xdr:col>
      <xdr:colOff>193675</xdr:colOff>
      <xdr:row>37</xdr:row>
      <xdr:rowOff>127000</xdr:rowOff>
    </xdr:to>
    <xdr:sp macro="" textlink="">
      <xdr:nvSpPr>
        <xdr:cNvPr id="1279" name="OpenSolver290">
          <a:extLst>
            <a:ext uri="{FF2B5EF4-FFF2-40B4-BE49-F238E27FC236}">
              <a16:creationId xmlns:a16="http://schemas.microsoft.com/office/drawing/2014/main" id="{D76D4F1C-7871-4F85-A4D9-DBD60E3DB445}"/>
            </a:ext>
          </a:extLst>
        </xdr:cNvPr>
        <xdr:cNvSpPr/>
      </xdr:nvSpPr>
      <xdr:spPr>
        <a:xfrm>
          <a:off x="10842625" y="66929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46</xdr:row>
      <xdr:rowOff>0</xdr:rowOff>
    </xdr:from>
    <xdr:to>
      <xdr:col>27</xdr:col>
      <xdr:colOff>0</xdr:colOff>
      <xdr:row>47</xdr:row>
      <xdr:rowOff>0</xdr:rowOff>
    </xdr:to>
    <xdr:sp macro="" textlink="">
      <xdr:nvSpPr>
        <xdr:cNvPr id="1280" name="OpenSolver291">
          <a:extLst>
            <a:ext uri="{FF2B5EF4-FFF2-40B4-BE49-F238E27FC236}">
              <a16:creationId xmlns:a16="http://schemas.microsoft.com/office/drawing/2014/main" id="{99DD6968-B2F3-426C-B585-342656D91B3E}"/>
            </a:ext>
          </a:extLst>
        </xdr:cNvPr>
        <xdr:cNvSpPr/>
      </xdr:nvSpPr>
      <xdr:spPr>
        <a:xfrm>
          <a:off x="2038350" y="8477250"/>
          <a:ext cx="17983200" cy="18415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3</xdr:col>
      <xdr:colOff>0</xdr:colOff>
      <xdr:row>48</xdr:row>
      <xdr:rowOff>0</xdr:rowOff>
    </xdr:from>
    <xdr:to>
      <xdr:col>27</xdr:col>
      <xdr:colOff>0</xdr:colOff>
      <xdr:row>49</xdr:row>
      <xdr:rowOff>0</xdr:rowOff>
    </xdr:to>
    <xdr:sp macro="" textlink="">
      <xdr:nvSpPr>
        <xdr:cNvPr id="1281" name="OpenSolver292">
          <a:extLst>
            <a:ext uri="{FF2B5EF4-FFF2-40B4-BE49-F238E27FC236}">
              <a16:creationId xmlns:a16="http://schemas.microsoft.com/office/drawing/2014/main" id="{BBE114B3-001A-40C4-BC22-7D0DF969E0CA}"/>
            </a:ext>
          </a:extLst>
        </xdr:cNvPr>
        <xdr:cNvSpPr/>
      </xdr:nvSpPr>
      <xdr:spPr>
        <a:xfrm>
          <a:off x="2038350" y="8845550"/>
          <a:ext cx="17983200" cy="18415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CC0099"/>
              </a:solidFill>
            </a:rPr>
            <a:t>≤</a:t>
          </a:r>
        </a:p>
      </xdr:txBody>
    </xdr:sp>
    <xdr:clientData/>
  </xdr:twoCellAnchor>
  <xdr:twoCellAnchor>
    <xdr:from>
      <xdr:col>15</xdr:col>
      <xdr:colOff>0</xdr:colOff>
      <xdr:row>47</xdr:row>
      <xdr:rowOff>0</xdr:rowOff>
    </xdr:from>
    <xdr:to>
      <xdr:col>15</xdr:col>
      <xdr:colOff>0</xdr:colOff>
      <xdr:row>48</xdr:row>
      <xdr:rowOff>0</xdr:rowOff>
    </xdr:to>
    <xdr:cxnSp macro="">
      <xdr:nvCxnSpPr>
        <xdr:cNvPr id="1282" name="OpenSolver293">
          <a:extLst>
            <a:ext uri="{FF2B5EF4-FFF2-40B4-BE49-F238E27FC236}">
              <a16:creationId xmlns:a16="http://schemas.microsoft.com/office/drawing/2014/main" id="{7DE401A0-F96A-4A1F-84F5-5911C9C5093C}"/>
            </a:ext>
          </a:extLst>
        </xdr:cNvPr>
        <xdr:cNvCxnSpPr>
          <a:stCxn id="1280" idx="2"/>
          <a:endCxn id="1281" idx="0"/>
        </xdr:cNvCxnSpPr>
      </xdr:nvCxnSpPr>
      <xdr:spPr>
        <a:xfrm>
          <a:off x="11029950" y="8661400"/>
          <a:ext cx="0" cy="18415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558800</xdr:colOff>
      <xdr:row>46</xdr:row>
      <xdr:rowOff>149225</xdr:rowOff>
    </xdr:from>
    <xdr:to>
      <xdr:col>15</xdr:col>
      <xdr:colOff>190500</xdr:colOff>
      <xdr:row>48</xdr:row>
      <xdr:rowOff>34925</xdr:rowOff>
    </xdr:to>
    <xdr:sp macro="" textlink="">
      <xdr:nvSpPr>
        <xdr:cNvPr id="1283" name="OpenSolver294">
          <a:extLst>
            <a:ext uri="{FF2B5EF4-FFF2-40B4-BE49-F238E27FC236}">
              <a16:creationId xmlns:a16="http://schemas.microsoft.com/office/drawing/2014/main" id="{E01867CE-3C2D-4CF3-940B-DB664651DC01}"/>
            </a:ext>
          </a:extLst>
        </xdr:cNvPr>
        <xdr:cNvSpPr/>
      </xdr:nvSpPr>
      <xdr:spPr>
        <a:xfrm>
          <a:off x="10839450" y="862647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55</xdr:row>
      <xdr:rowOff>0</xdr:rowOff>
    </xdr:from>
    <xdr:to>
      <xdr:col>27</xdr:col>
      <xdr:colOff>0</xdr:colOff>
      <xdr:row>56</xdr:row>
      <xdr:rowOff>0</xdr:rowOff>
    </xdr:to>
    <xdr:sp macro="" textlink="">
      <xdr:nvSpPr>
        <xdr:cNvPr id="1284" name="OpenSolver295">
          <a:extLst>
            <a:ext uri="{FF2B5EF4-FFF2-40B4-BE49-F238E27FC236}">
              <a16:creationId xmlns:a16="http://schemas.microsoft.com/office/drawing/2014/main" id="{1C078351-BB87-4519-9C8F-552413D5BB77}"/>
            </a:ext>
          </a:extLst>
        </xdr:cNvPr>
        <xdr:cNvSpPr/>
      </xdr:nvSpPr>
      <xdr:spPr>
        <a:xfrm>
          <a:off x="2038350" y="10134600"/>
          <a:ext cx="17983200" cy="1841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3</xdr:col>
      <xdr:colOff>0</xdr:colOff>
      <xdr:row>57</xdr:row>
      <xdr:rowOff>0</xdr:rowOff>
    </xdr:from>
    <xdr:to>
      <xdr:col>27</xdr:col>
      <xdr:colOff>0</xdr:colOff>
      <xdr:row>58</xdr:row>
      <xdr:rowOff>0</xdr:rowOff>
    </xdr:to>
    <xdr:sp macro="" textlink="">
      <xdr:nvSpPr>
        <xdr:cNvPr id="1285" name="OpenSolver296">
          <a:extLst>
            <a:ext uri="{FF2B5EF4-FFF2-40B4-BE49-F238E27FC236}">
              <a16:creationId xmlns:a16="http://schemas.microsoft.com/office/drawing/2014/main" id="{E8E785AC-7169-4D56-B672-74E3AAFFE0EE}"/>
            </a:ext>
          </a:extLst>
        </xdr:cNvPr>
        <xdr:cNvSpPr/>
      </xdr:nvSpPr>
      <xdr:spPr>
        <a:xfrm>
          <a:off x="2038350" y="10502900"/>
          <a:ext cx="17983200" cy="1841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15</xdr:col>
      <xdr:colOff>0</xdr:colOff>
      <xdr:row>56</xdr:row>
      <xdr:rowOff>0</xdr:rowOff>
    </xdr:from>
    <xdr:to>
      <xdr:col>15</xdr:col>
      <xdr:colOff>0</xdr:colOff>
      <xdr:row>57</xdr:row>
      <xdr:rowOff>0</xdr:rowOff>
    </xdr:to>
    <xdr:cxnSp macro="">
      <xdr:nvCxnSpPr>
        <xdr:cNvPr id="1286" name="OpenSolver297">
          <a:extLst>
            <a:ext uri="{FF2B5EF4-FFF2-40B4-BE49-F238E27FC236}">
              <a16:creationId xmlns:a16="http://schemas.microsoft.com/office/drawing/2014/main" id="{3D2D75A2-526F-4E64-AE74-26FB64382650}"/>
            </a:ext>
          </a:extLst>
        </xdr:cNvPr>
        <xdr:cNvCxnSpPr>
          <a:stCxn id="1284" idx="2"/>
          <a:endCxn id="1285" idx="0"/>
        </xdr:cNvCxnSpPr>
      </xdr:nvCxnSpPr>
      <xdr:spPr>
        <a:xfrm>
          <a:off x="11029950" y="10318750"/>
          <a:ext cx="0" cy="18415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558800</xdr:colOff>
      <xdr:row>55</xdr:row>
      <xdr:rowOff>149225</xdr:rowOff>
    </xdr:from>
    <xdr:to>
      <xdr:col>15</xdr:col>
      <xdr:colOff>190500</xdr:colOff>
      <xdr:row>57</xdr:row>
      <xdr:rowOff>34925</xdr:rowOff>
    </xdr:to>
    <xdr:sp macro="" textlink="">
      <xdr:nvSpPr>
        <xdr:cNvPr id="1287" name="OpenSolver298">
          <a:extLst>
            <a:ext uri="{FF2B5EF4-FFF2-40B4-BE49-F238E27FC236}">
              <a16:creationId xmlns:a16="http://schemas.microsoft.com/office/drawing/2014/main" id="{FDBC621A-4022-4E8C-BF8B-2911F1E27340}"/>
            </a:ext>
          </a:extLst>
        </xdr:cNvPr>
        <xdr:cNvSpPr/>
      </xdr:nvSpPr>
      <xdr:spPr>
        <a:xfrm>
          <a:off x="10839450" y="102838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12700</xdr:colOff>
      <xdr:row>55</xdr:row>
      <xdr:rowOff>12700</xdr:rowOff>
    </xdr:from>
    <xdr:to>
      <xdr:col>27</xdr:col>
      <xdr:colOff>0</xdr:colOff>
      <xdr:row>56</xdr:row>
      <xdr:rowOff>0</xdr:rowOff>
    </xdr:to>
    <xdr:sp macro="" textlink="">
      <xdr:nvSpPr>
        <xdr:cNvPr id="1288" name="OpenSolver299">
          <a:extLst>
            <a:ext uri="{FF2B5EF4-FFF2-40B4-BE49-F238E27FC236}">
              <a16:creationId xmlns:a16="http://schemas.microsoft.com/office/drawing/2014/main" id="{FBA5C939-A490-43F8-B7E5-442FF16ACAF5}"/>
            </a:ext>
          </a:extLst>
        </xdr:cNvPr>
        <xdr:cNvSpPr/>
      </xdr:nvSpPr>
      <xdr:spPr>
        <a:xfrm>
          <a:off x="2051050" y="10147300"/>
          <a:ext cx="17970500" cy="1714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3</xdr:col>
      <xdr:colOff>0</xdr:colOff>
      <xdr:row>56</xdr:row>
      <xdr:rowOff>0</xdr:rowOff>
    </xdr:from>
    <xdr:to>
      <xdr:col>27</xdr:col>
      <xdr:colOff>0</xdr:colOff>
      <xdr:row>57</xdr:row>
      <xdr:rowOff>0</xdr:rowOff>
    </xdr:to>
    <xdr:sp macro="" textlink="">
      <xdr:nvSpPr>
        <xdr:cNvPr id="1289" name="OpenSolver300">
          <a:extLst>
            <a:ext uri="{FF2B5EF4-FFF2-40B4-BE49-F238E27FC236}">
              <a16:creationId xmlns:a16="http://schemas.microsoft.com/office/drawing/2014/main" id="{1D338572-A005-4F00-AB5F-CFFAC9A24A68}"/>
            </a:ext>
          </a:extLst>
        </xdr:cNvPr>
        <xdr:cNvSpPr/>
      </xdr:nvSpPr>
      <xdr:spPr>
        <a:xfrm>
          <a:off x="2038350" y="10318750"/>
          <a:ext cx="17983200" cy="1841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8000"/>
              </a:solidFill>
            </a:rPr>
            <a:t>≥</a:t>
          </a:r>
        </a:p>
      </xdr:txBody>
    </xdr:sp>
    <xdr:clientData/>
  </xdr:twoCellAnchor>
  <xdr:twoCellAnchor>
    <xdr:from>
      <xdr:col>15</xdr:col>
      <xdr:colOff>0</xdr:colOff>
      <xdr:row>56</xdr:row>
      <xdr:rowOff>0</xdr:rowOff>
    </xdr:from>
    <xdr:to>
      <xdr:col>15</xdr:col>
      <xdr:colOff>6350</xdr:colOff>
      <xdr:row>56</xdr:row>
      <xdr:rowOff>0</xdr:rowOff>
    </xdr:to>
    <xdr:cxnSp macro="">
      <xdr:nvCxnSpPr>
        <xdr:cNvPr id="1290" name="OpenSolver301">
          <a:extLst>
            <a:ext uri="{FF2B5EF4-FFF2-40B4-BE49-F238E27FC236}">
              <a16:creationId xmlns:a16="http://schemas.microsoft.com/office/drawing/2014/main" id="{792418C0-0372-4B6E-A0BF-EB04F61F29D1}"/>
            </a:ext>
          </a:extLst>
        </xdr:cNvPr>
        <xdr:cNvCxnSpPr>
          <a:stCxn id="1288" idx="2"/>
          <a:endCxn id="1289" idx="0"/>
        </xdr:cNvCxnSpPr>
      </xdr:nvCxnSpPr>
      <xdr:spPr>
        <a:xfrm flipH="1">
          <a:off x="11029950" y="10318750"/>
          <a:ext cx="635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561975</xdr:colOff>
      <xdr:row>55</xdr:row>
      <xdr:rowOff>57150</xdr:rowOff>
    </xdr:from>
    <xdr:to>
      <xdr:col>15</xdr:col>
      <xdr:colOff>193675</xdr:colOff>
      <xdr:row>56</xdr:row>
      <xdr:rowOff>127000</xdr:rowOff>
    </xdr:to>
    <xdr:sp macro="" textlink="">
      <xdr:nvSpPr>
        <xdr:cNvPr id="1291" name="OpenSolver302">
          <a:extLst>
            <a:ext uri="{FF2B5EF4-FFF2-40B4-BE49-F238E27FC236}">
              <a16:creationId xmlns:a16="http://schemas.microsoft.com/office/drawing/2014/main" id="{7D116FA5-796B-4651-A340-72FD71FB915F}"/>
            </a:ext>
          </a:extLst>
        </xdr:cNvPr>
        <xdr:cNvSpPr/>
      </xdr:nvSpPr>
      <xdr:spPr>
        <a:xfrm>
          <a:off x="10842625" y="101917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80</xdr:row>
      <xdr:rowOff>0</xdr:rowOff>
    </xdr:from>
    <xdr:to>
      <xdr:col>27</xdr:col>
      <xdr:colOff>0</xdr:colOff>
      <xdr:row>81</xdr:row>
      <xdr:rowOff>0</xdr:rowOff>
    </xdr:to>
    <xdr:sp macro="" textlink="">
      <xdr:nvSpPr>
        <xdr:cNvPr id="1292" name="OpenSolver303">
          <a:extLst>
            <a:ext uri="{FF2B5EF4-FFF2-40B4-BE49-F238E27FC236}">
              <a16:creationId xmlns:a16="http://schemas.microsoft.com/office/drawing/2014/main" id="{0314437A-842E-4A26-99B2-4F99A003E2C6}"/>
            </a:ext>
          </a:extLst>
        </xdr:cNvPr>
        <xdr:cNvSpPr/>
      </xdr:nvSpPr>
      <xdr:spPr>
        <a:xfrm>
          <a:off x="2038350" y="14738350"/>
          <a:ext cx="17983200" cy="18415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3</xdr:col>
      <xdr:colOff>0</xdr:colOff>
      <xdr:row>82</xdr:row>
      <xdr:rowOff>0</xdr:rowOff>
    </xdr:from>
    <xdr:to>
      <xdr:col>27</xdr:col>
      <xdr:colOff>0</xdr:colOff>
      <xdr:row>83</xdr:row>
      <xdr:rowOff>0</xdr:rowOff>
    </xdr:to>
    <xdr:sp macro="" textlink="">
      <xdr:nvSpPr>
        <xdr:cNvPr id="1293" name="OpenSolver304">
          <a:extLst>
            <a:ext uri="{FF2B5EF4-FFF2-40B4-BE49-F238E27FC236}">
              <a16:creationId xmlns:a16="http://schemas.microsoft.com/office/drawing/2014/main" id="{521F8A85-F191-4258-89E2-2BA7546C75D3}"/>
            </a:ext>
          </a:extLst>
        </xdr:cNvPr>
        <xdr:cNvSpPr/>
      </xdr:nvSpPr>
      <xdr:spPr>
        <a:xfrm>
          <a:off x="2038350" y="15106650"/>
          <a:ext cx="17983200" cy="18415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9900CC"/>
              </a:solidFill>
            </a:rPr>
            <a:t>≤</a:t>
          </a:r>
        </a:p>
      </xdr:txBody>
    </xdr:sp>
    <xdr:clientData/>
  </xdr:twoCellAnchor>
  <xdr:twoCellAnchor>
    <xdr:from>
      <xdr:col>15</xdr:col>
      <xdr:colOff>0</xdr:colOff>
      <xdr:row>81</xdr:row>
      <xdr:rowOff>0</xdr:rowOff>
    </xdr:from>
    <xdr:to>
      <xdr:col>15</xdr:col>
      <xdr:colOff>0</xdr:colOff>
      <xdr:row>82</xdr:row>
      <xdr:rowOff>0</xdr:rowOff>
    </xdr:to>
    <xdr:cxnSp macro="">
      <xdr:nvCxnSpPr>
        <xdr:cNvPr id="1294" name="OpenSolver305">
          <a:extLst>
            <a:ext uri="{FF2B5EF4-FFF2-40B4-BE49-F238E27FC236}">
              <a16:creationId xmlns:a16="http://schemas.microsoft.com/office/drawing/2014/main" id="{3A3244F2-BD16-48CB-8F69-89263CB285B7}"/>
            </a:ext>
          </a:extLst>
        </xdr:cNvPr>
        <xdr:cNvCxnSpPr>
          <a:stCxn id="1292" idx="2"/>
          <a:endCxn id="1293" idx="0"/>
        </xdr:cNvCxnSpPr>
      </xdr:nvCxnSpPr>
      <xdr:spPr>
        <a:xfrm>
          <a:off x="11029950" y="14922500"/>
          <a:ext cx="0" cy="18415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558800</xdr:colOff>
      <xdr:row>80</xdr:row>
      <xdr:rowOff>149225</xdr:rowOff>
    </xdr:from>
    <xdr:to>
      <xdr:col>15</xdr:col>
      <xdr:colOff>190500</xdr:colOff>
      <xdr:row>82</xdr:row>
      <xdr:rowOff>34925</xdr:rowOff>
    </xdr:to>
    <xdr:sp macro="" textlink="">
      <xdr:nvSpPr>
        <xdr:cNvPr id="1295" name="OpenSolver306">
          <a:extLst>
            <a:ext uri="{FF2B5EF4-FFF2-40B4-BE49-F238E27FC236}">
              <a16:creationId xmlns:a16="http://schemas.microsoft.com/office/drawing/2014/main" id="{9665E1D9-503A-487E-82E5-725C15E30302}"/>
            </a:ext>
          </a:extLst>
        </xdr:cNvPr>
        <xdr:cNvSpPr/>
      </xdr:nvSpPr>
      <xdr:spPr>
        <a:xfrm>
          <a:off x="10839450" y="1488757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27</xdr:col>
      <xdr:colOff>0</xdr:colOff>
      <xdr:row>19</xdr:row>
      <xdr:rowOff>0</xdr:rowOff>
    </xdr:to>
    <xdr:sp macro="" textlink="">
      <xdr:nvSpPr>
        <xdr:cNvPr id="1296" name="OpenSolver307">
          <a:extLst>
            <a:ext uri="{FF2B5EF4-FFF2-40B4-BE49-F238E27FC236}">
              <a16:creationId xmlns:a16="http://schemas.microsoft.com/office/drawing/2014/main" id="{02213BB3-95BA-4CF7-968B-5A0062E4AE2D}"/>
            </a:ext>
          </a:extLst>
        </xdr:cNvPr>
        <xdr:cNvSpPr/>
      </xdr:nvSpPr>
      <xdr:spPr>
        <a:xfrm>
          <a:off x="2787650" y="3321050"/>
          <a:ext cx="17233900" cy="18415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4</xdr:col>
      <xdr:colOff>0</xdr:colOff>
      <xdr:row>257</xdr:row>
      <xdr:rowOff>0</xdr:rowOff>
    </xdr:from>
    <xdr:to>
      <xdr:col>27</xdr:col>
      <xdr:colOff>0</xdr:colOff>
      <xdr:row>258</xdr:row>
      <xdr:rowOff>0</xdr:rowOff>
    </xdr:to>
    <xdr:sp macro="" textlink="">
      <xdr:nvSpPr>
        <xdr:cNvPr id="1297" name="OpenSolver308">
          <a:extLst>
            <a:ext uri="{FF2B5EF4-FFF2-40B4-BE49-F238E27FC236}">
              <a16:creationId xmlns:a16="http://schemas.microsoft.com/office/drawing/2014/main" id="{23606759-E417-4740-814D-661690383871}"/>
            </a:ext>
          </a:extLst>
        </xdr:cNvPr>
        <xdr:cNvSpPr/>
      </xdr:nvSpPr>
      <xdr:spPr>
        <a:xfrm>
          <a:off x="2787650" y="47332900"/>
          <a:ext cx="17233900" cy="18415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800000"/>
              </a:solidFill>
            </a:rPr>
            <a:t>≤</a:t>
          </a:r>
        </a:p>
      </xdr:txBody>
    </xdr:sp>
    <xdr:clientData/>
  </xdr:twoCellAnchor>
  <xdr:twoCellAnchor>
    <xdr:from>
      <xdr:col>15</xdr:col>
      <xdr:colOff>374650</xdr:colOff>
      <xdr:row>19</xdr:row>
      <xdr:rowOff>0</xdr:rowOff>
    </xdr:from>
    <xdr:to>
      <xdr:col>15</xdr:col>
      <xdr:colOff>374650</xdr:colOff>
      <xdr:row>257</xdr:row>
      <xdr:rowOff>0</xdr:rowOff>
    </xdr:to>
    <xdr:cxnSp macro="">
      <xdr:nvCxnSpPr>
        <xdr:cNvPr id="1298" name="OpenSolver309">
          <a:extLst>
            <a:ext uri="{FF2B5EF4-FFF2-40B4-BE49-F238E27FC236}">
              <a16:creationId xmlns:a16="http://schemas.microsoft.com/office/drawing/2014/main" id="{2D640B3F-A38F-455B-BB2A-91E5E12AF61D}"/>
            </a:ext>
          </a:extLst>
        </xdr:cNvPr>
        <xdr:cNvCxnSpPr>
          <a:stCxn id="1296" idx="2"/>
          <a:endCxn id="1297" idx="0"/>
        </xdr:cNvCxnSpPr>
      </xdr:nvCxnSpPr>
      <xdr:spPr>
        <a:xfrm>
          <a:off x="11404600" y="3505200"/>
          <a:ext cx="0" cy="4382770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184150</xdr:colOff>
      <xdr:row>137</xdr:row>
      <xdr:rowOff>57150</xdr:rowOff>
    </xdr:from>
    <xdr:to>
      <xdr:col>15</xdr:col>
      <xdr:colOff>565150</xdr:colOff>
      <xdr:row>138</xdr:row>
      <xdr:rowOff>127000</xdr:rowOff>
    </xdr:to>
    <xdr:sp macro="" textlink="">
      <xdr:nvSpPr>
        <xdr:cNvPr id="1299" name="OpenSolver310">
          <a:extLst>
            <a:ext uri="{FF2B5EF4-FFF2-40B4-BE49-F238E27FC236}">
              <a16:creationId xmlns:a16="http://schemas.microsoft.com/office/drawing/2014/main" id="{D630F450-33F2-4460-919B-17573913C781}"/>
            </a:ext>
          </a:extLst>
        </xdr:cNvPr>
        <xdr:cNvSpPr/>
      </xdr:nvSpPr>
      <xdr:spPr>
        <a:xfrm>
          <a:off x="11214100" y="252920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12700</xdr:colOff>
      <xdr:row>3</xdr:row>
      <xdr:rowOff>12700</xdr:rowOff>
    </xdr:from>
    <xdr:to>
      <xdr:col>27</xdr:col>
      <xdr:colOff>0</xdr:colOff>
      <xdr:row>4</xdr:row>
      <xdr:rowOff>0</xdr:rowOff>
    </xdr:to>
    <xdr:sp macro="" textlink="">
      <xdr:nvSpPr>
        <xdr:cNvPr id="1300" name="OpenSolver311">
          <a:extLst>
            <a:ext uri="{FF2B5EF4-FFF2-40B4-BE49-F238E27FC236}">
              <a16:creationId xmlns:a16="http://schemas.microsoft.com/office/drawing/2014/main" id="{9F4D2DB4-CB19-4153-9DA7-62B51E1907F2}"/>
            </a:ext>
          </a:extLst>
        </xdr:cNvPr>
        <xdr:cNvSpPr/>
      </xdr:nvSpPr>
      <xdr:spPr>
        <a:xfrm>
          <a:off x="2051050" y="565150"/>
          <a:ext cx="17970500" cy="17145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27</xdr:col>
      <xdr:colOff>0</xdr:colOff>
      <xdr:row>6</xdr:row>
      <xdr:rowOff>0</xdr:rowOff>
    </xdr:to>
    <xdr:sp macro="" textlink="">
      <xdr:nvSpPr>
        <xdr:cNvPr id="1301" name="OpenSolver312">
          <a:extLst>
            <a:ext uri="{FF2B5EF4-FFF2-40B4-BE49-F238E27FC236}">
              <a16:creationId xmlns:a16="http://schemas.microsoft.com/office/drawing/2014/main" id="{DBD6E472-62F3-48EB-AE46-629F0ACE2A11}"/>
            </a:ext>
          </a:extLst>
        </xdr:cNvPr>
        <xdr:cNvSpPr/>
      </xdr:nvSpPr>
      <xdr:spPr>
        <a:xfrm>
          <a:off x="2038350" y="920750"/>
          <a:ext cx="17983200" cy="18415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CC33"/>
              </a:solidFill>
            </a:rPr>
            <a:t>≤</a:t>
          </a:r>
        </a:p>
      </xdr:txBody>
    </xdr:sp>
    <xdr:clientData/>
  </xdr:twoCellAnchor>
  <xdr:twoCellAnchor>
    <xdr:from>
      <xdr:col>15</xdr:col>
      <xdr:colOff>0</xdr:colOff>
      <xdr:row>4</xdr:row>
      <xdr:rowOff>0</xdr:rowOff>
    </xdr:from>
    <xdr:to>
      <xdr:col>15</xdr:col>
      <xdr:colOff>6350</xdr:colOff>
      <xdr:row>5</xdr:row>
      <xdr:rowOff>0</xdr:rowOff>
    </xdr:to>
    <xdr:cxnSp macro="">
      <xdr:nvCxnSpPr>
        <xdr:cNvPr id="1302" name="OpenSolver313">
          <a:extLst>
            <a:ext uri="{FF2B5EF4-FFF2-40B4-BE49-F238E27FC236}">
              <a16:creationId xmlns:a16="http://schemas.microsoft.com/office/drawing/2014/main" id="{085AA3F5-2A93-48AA-BBE2-3FC8C31E3322}"/>
            </a:ext>
          </a:extLst>
        </xdr:cNvPr>
        <xdr:cNvCxnSpPr>
          <a:stCxn id="1300" idx="2"/>
          <a:endCxn id="1301" idx="0"/>
        </xdr:cNvCxnSpPr>
      </xdr:nvCxnSpPr>
      <xdr:spPr>
        <a:xfrm flipH="1">
          <a:off x="11029950" y="736600"/>
          <a:ext cx="6350" cy="18415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561975</xdr:colOff>
      <xdr:row>3</xdr:row>
      <xdr:rowOff>149225</xdr:rowOff>
    </xdr:from>
    <xdr:to>
      <xdr:col>15</xdr:col>
      <xdr:colOff>193675</xdr:colOff>
      <xdr:row>5</xdr:row>
      <xdr:rowOff>34925</xdr:rowOff>
    </xdr:to>
    <xdr:sp macro="" textlink="">
      <xdr:nvSpPr>
        <xdr:cNvPr id="1303" name="OpenSolver314">
          <a:extLst>
            <a:ext uri="{FF2B5EF4-FFF2-40B4-BE49-F238E27FC236}">
              <a16:creationId xmlns:a16="http://schemas.microsoft.com/office/drawing/2014/main" id="{2E71E0F4-23B5-4501-81CC-23C11B2254D3}"/>
            </a:ext>
          </a:extLst>
        </xdr:cNvPr>
        <xdr:cNvSpPr/>
      </xdr:nvSpPr>
      <xdr:spPr>
        <a:xfrm>
          <a:off x="10842625" y="70167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0</xdr:colOff>
      <xdr:row>115</xdr:row>
      <xdr:rowOff>0</xdr:rowOff>
    </xdr:from>
    <xdr:to>
      <xdr:col>27</xdr:col>
      <xdr:colOff>0</xdr:colOff>
      <xdr:row>116</xdr:row>
      <xdr:rowOff>0</xdr:rowOff>
    </xdr:to>
    <xdr:sp macro="" textlink="">
      <xdr:nvSpPr>
        <xdr:cNvPr id="1304" name="OpenSolver316">
          <a:extLst>
            <a:ext uri="{FF2B5EF4-FFF2-40B4-BE49-F238E27FC236}">
              <a16:creationId xmlns:a16="http://schemas.microsoft.com/office/drawing/2014/main" id="{EDE945DC-D906-45C0-9A59-6B771A6ED4A1}"/>
            </a:ext>
          </a:extLst>
        </xdr:cNvPr>
        <xdr:cNvSpPr/>
      </xdr:nvSpPr>
      <xdr:spPr>
        <a:xfrm>
          <a:off x="2787650" y="21183600"/>
          <a:ext cx="17233900" cy="18415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4</xdr:col>
      <xdr:colOff>0</xdr:colOff>
      <xdr:row>276</xdr:row>
      <xdr:rowOff>0</xdr:rowOff>
    </xdr:from>
    <xdr:to>
      <xdr:col>27</xdr:col>
      <xdr:colOff>0</xdr:colOff>
      <xdr:row>277</xdr:row>
      <xdr:rowOff>0</xdr:rowOff>
    </xdr:to>
    <xdr:sp macro="" textlink="">
      <xdr:nvSpPr>
        <xdr:cNvPr id="1305" name="OpenSolver317">
          <a:extLst>
            <a:ext uri="{FF2B5EF4-FFF2-40B4-BE49-F238E27FC236}">
              <a16:creationId xmlns:a16="http://schemas.microsoft.com/office/drawing/2014/main" id="{CECE0DDA-2829-43A7-9B65-241EC7154D5B}"/>
            </a:ext>
          </a:extLst>
        </xdr:cNvPr>
        <xdr:cNvSpPr/>
      </xdr:nvSpPr>
      <xdr:spPr>
        <a:xfrm>
          <a:off x="2787650" y="50831750"/>
          <a:ext cx="17233900" cy="18415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CC0099"/>
              </a:solidFill>
            </a:rPr>
            <a:t>≤</a:t>
          </a:r>
        </a:p>
      </xdr:txBody>
    </xdr:sp>
    <xdr:clientData/>
  </xdr:twoCellAnchor>
  <xdr:twoCellAnchor>
    <xdr:from>
      <xdr:col>15</xdr:col>
      <xdr:colOff>374650</xdr:colOff>
      <xdr:row>116</xdr:row>
      <xdr:rowOff>0</xdr:rowOff>
    </xdr:from>
    <xdr:to>
      <xdr:col>15</xdr:col>
      <xdr:colOff>374650</xdr:colOff>
      <xdr:row>276</xdr:row>
      <xdr:rowOff>0</xdr:rowOff>
    </xdr:to>
    <xdr:cxnSp macro="">
      <xdr:nvCxnSpPr>
        <xdr:cNvPr id="1306" name="OpenSolver318">
          <a:extLst>
            <a:ext uri="{FF2B5EF4-FFF2-40B4-BE49-F238E27FC236}">
              <a16:creationId xmlns:a16="http://schemas.microsoft.com/office/drawing/2014/main" id="{5890D29A-EB6C-4EB6-97C5-8CFEA2C8F7D8}"/>
            </a:ext>
          </a:extLst>
        </xdr:cNvPr>
        <xdr:cNvCxnSpPr>
          <a:stCxn id="1304" idx="2"/>
          <a:endCxn id="1305" idx="0"/>
        </xdr:cNvCxnSpPr>
      </xdr:nvCxnSpPr>
      <xdr:spPr>
        <a:xfrm>
          <a:off x="11404600" y="21367750"/>
          <a:ext cx="0" cy="2946400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184150</xdr:colOff>
      <xdr:row>195</xdr:row>
      <xdr:rowOff>57150</xdr:rowOff>
    </xdr:from>
    <xdr:to>
      <xdr:col>15</xdr:col>
      <xdr:colOff>565150</xdr:colOff>
      <xdr:row>196</xdr:row>
      <xdr:rowOff>127000</xdr:rowOff>
    </xdr:to>
    <xdr:sp macro="" textlink="">
      <xdr:nvSpPr>
        <xdr:cNvPr id="1307" name="OpenSolver319">
          <a:extLst>
            <a:ext uri="{FF2B5EF4-FFF2-40B4-BE49-F238E27FC236}">
              <a16:creationId xmlns:a16="http://schemas.microsoft.com/office/drawing/2014/main" id="{9C256B74-B315-44A1-AC83-723286FCC573}"/>
            </a:ext>
          </a:extLst>
        </xdr:cNvPr>
        <xdr:cNvSpPr/>
      </xdr:nvSpPr>
      <xdr:spPr>
        <a:xfrm>
          <a:off x="11214100" y="359727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68</xdr:row>
      <xdr:rowOff>0</xdr:rowOff>
    </xdr:from>
    <xdr:to>
      <xdr:col>27</xdr:col>
      <xdr:colOff>0</xdr:colOff>
      <xdr:row>69</xdr:row>
      <xdr:rowOff>0</xdr:rowOff>
    </xdr:to>
    <xdr:sp macro="" textlink="">
      <xdr:nvSpPr>
        <xdr:cNvPr id="1308" name="OpenSolver320">
          <a:extLst>
            <a:ext uri="{FF2B5EF4-FFF2-40B4-BE49-F238E27FC236}">
              <a16:creationId xmlns:a16="http://schemas.microsoft.com/office/drawing/2014/main" id="{48722622-228D-4947-9E0F-2F50D935A12A}"/>
            </a:ext>
          </a:extLst>
        </xdr:cNvPr>
        <xdr:cNvSpPr/>
      </xdr:nvSpPr>
      <xdr:spPr>
        <a:xfrm>
          <a:off x="2038350" y="12528550"/>
          <a:ext cx="17983200" cy="1841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3</xdr:col>
      <xdr:colOff>0</xdr:colOff>
      <xdr:row>69</xdr:row>
      <xdr:rowOff>0</xdr:rowOff>
    </xdr:from>
    <xdr:to>
      <xdr:col>27</xdr:col>
      <xdr:colOff>0</xdr:colOff>
      <xdr:row>70</xdr:row>
      <xdr:rowOff>0</xdr:rowOff>
    </xdr:to>
    <xdr:sp macro="" textlink="">
      <xdr:nvSpPr>
        <xdr:cNvPr id="1309" name="OpenSolver321">
          <a:extLst>
            <a:ext uri="{FF2B5EF4-FFF2-40B4-BE49-F238E27FC236}">
              <a16:creationId xmlns:a16="http://schemas.microsoft.com/office/drawing/2014/main" id="{9EF5BE7F-3862-4E3B-9E06-9166FB9F1E1F}"/>
            </a:ext>
          </a:extLst>
        </xdr:cNvPr>
        <xdr:cNvSpPr/>
      </xdr:nvSpPr>
      <xdr:spPr>
        <a:xfrm>
          <a:off x="2038350" y="12712700"/>
          <a:ext cx="17983200" cy="1841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00FF"/>
              </a:solidFill>
            </a:rPr>
            <a:t>≥</a:t>
          </a:r>
        </a:p>
      </xdr:txBody>
    </xdr:sp>
    <xdr:clientData/>
  </xdr:twoCellAnchor>
  <xdr:twoCellAnchor>
    <xdr:from>
      <xdr:col>15</xdr:col>
      <xdr:colOff>0</xdr:colOff>
      <xdr:row>69</xdr:row>
      <xdr:rowOff>0</xdr:rowOff>
    </xdr:from>
    <xdr:to>
      <xdr:col>15</xdr:col>
      <xdr:colOff>0</xdr:colOff>
      <xdr:row>69</xdr:row>
      <xdr:rowOff>0</xdr:rowOff>
    </xdr:to>
    <xdr:cxnSp macro="">
      <xdr:nvCxnSpPr>
        <xdr:cNvPr id="1310" name="OpenSolver322">
          <a:extLst>
            <a:ext uri="{FF2B5EF4-FFF2-40B4-BE49-F238E27FC236}">
              <a16:creationId xmlns:a16="http://schemas.microsoft.com/office/drawing/2014/main" id="{5370D64A-F332-4EEF-892C-95721AA04402}"/>
            </a:ext>
          </a:extLst>
        </xdr:cNvPr>
        <xdr:cNvCxnSpPr>
          <a:stCxn id="1308" idx="2"/>
          <a:endCxn id="1309" idx="0"/>
        </xdr:cNvCxnSpPr>
      </xdr:nvCxnSpPr>
      <xdr:spPr>
        <a:xfrm>
          <a:off x="11029950" y="12712700"/>
          <a:ext cx="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558800</xdr:colOff>
      <xdr:row>68</xdr:row>
      <xdr:rowOff>57150</xdr:rowOff>
    </xdr:from>
    <xdr:to>
      <xdr:col>15</xdr:col>
      <xdr:colOff>190500</xdr:colOff>
      <xdr:row>69</xdr:row>
      <xdr:rowOff>127000</xdr:rowOff>
    </xdr:to>
    <xdr:sp macro="" textlink="">
      <xdr:nvSpPr>
        <xdr:cNvPr id="1311" name="OpenSolver323">
          <a:extLst>
            <a:ext uri="{FF2B5EF4-FFF2-40B4-BE49-F238E27FC236}">
              <a16:creationId xmlns:a16="http://schemas.microsoft.com/office/drawing/2014/main" id="{FCC9594C-F87B-42C3-9AFF-E909B4788543}"/>
            </a:ext>
          </a:extLst>
        </xdr:cNvPr>
        <xdr:cNvSpPr/>
      </xdr:nvSpPr>
      <xdr:spPr>
        <a:xfrm>
          <a:off x="10839450" y="125857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12700</xdr:colOff>
      <xdr:row>80</xdr:row>
      <xdr:rowOff>12700</xdr:rowOff>
    </xdr:from>
    <xdr:to>
      <xdr:col>27</xdr:col>
      <xdr:colOff>0</xdr:colOff>
      <xdr:row>81</xdr:row>
      <xdr:rowOff>0</xdr:rowOff>
    </xdr:to>
    <xdr:sp macro="" textlink="">
      <xdr:nvSpPr>
        <xdr:cNvPr id="1312" name="OpenSolver324">
          <a:extLst>
            <a:ext uri="{FF2B5EF4-FFF2-40B4-BE49-F238E27FC236}">
              <a16:creationId xmlns:a16="http://schemas.microsoft.com/office/drawing/2014/main" id="{B082C0D5-433A-4010-957C-E2B57EE3F3A3}"/>
            </a:ext>
          </a:extLst>
        </xdr:cNvPr>
        <xdr:cNvSpPr/>
      </xdr:nvSpPr>
      <xdr:spPr>
        <a:xfrm>
          <a:off x="2051050" y="14751050"/>
          <a:ext cx="17970500" cy="1714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3</xdr:col>
      <xdr:colOff>0</xdr:colOff>
      <xdr:row>81</xdr:row>
      <xdr:rowOff>0</xdr:rowOff>
    </xdr:from>
    <xdr:to>
      <xdr:col>27</xdr:col>
      <xdr:colOff>0</xdr:colOff>
      <xdr:row>82</xdr:row>
      <xdr:rowOff>0</xdr:rowOff>
    </xdr:to>
    <xdr:sp macro="" textlink="">
      <xdr:nvSpPr>
        <xdr:cNvPr id="1313" name="OpenSolver325">
          <a:extLst>
            <a:ext uri="{FF2B5EF4-FFF2-40B4-BE49-F238E27FC236}">
              <a16:creationId xmlns:a16="http://schemas.microsoft.com/office/drawing/2014/main" id="{92713409-5BB7-47F3-9EC3-092ABF64C79D}"/>
            </a:ext>
          </a:extLst>
        </xdr:cNvPr>
        <xdr:cNvSpPr/>
      </xdr:nvSpPr>
      <xdr:spPr>
        <a:xfrm>
          <a:off x="2038350" y="14922500"/>
          <a:ext cx="17983200" cy="1841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8000"/>
              </a:solidFill>
            </a:rPr>
            <a:t>≥</a:t>
          </a:r>
        </a:p>
      </xdr:txBody>
    </xdr:sp>
    <xdr:clientData/>
  </xdr:twoCellAnchor>
  <xdr:twoCellAnchor>
    <xdr:from>
      <xdr:col>15</xdr:col>
      <xdr:colOff>0</xdr:colOff>
      <xdr:row>81</xdr:row>
      <xdr:rowOff>0</xdr:rowOff>
    </xdr:from>
    <xdr:to>
      <xdr:col>15</xdr:col>
      <xdr:colOff>6350</xdr:colOff>
      <xdr:row>81</xdr:row>
      <xdr:rowOff>0</xdr:rowOff>
    </xdr:to>
    <xdr:cxnSp macro="">
      <xdr:nvCxnSpPr>
        <xdr:cNvPr id="1314" name="OpenSolver326">
          <a:extLst>
            <a:ext uri="{FF2B5EF4-FFF2-40B4-BE49-F238E27FC236}">
              <a16:creationId xmlns:a16="http://schemas.microsoft.com/office/drawing/2014/main" id="{9C890141-D8FE-4131-97B9-6122DF4C89F5}"/>
            </a:ext>
          </a:extLst>
        </xdr:cNvPr>
        <xdr:cNvCxnSpPr>
          <a:stCxn id="1312" idx="2"/>
          <a:endCxn id="1313" idx="0"/>
        </xdr:cNvCxnSpPr>
      </xdr:nvCxnSpPr>
      <xdr:spPr>
        <a:xfrm flipH="1">
          <a:off x="11029950" y="14922500"/>
          <a:ext cx="635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561975</xdr:colOff>
      <xdr:row>80</xdr:row>
      <xdr:rowOff>57150</xdr:rowOff>
    </xdr:from>
    <xdr:to>
      <xdr:col>15</xdr:col>
      <xdr:colOff>193675</xdr:colOff>
      <xdr:row>81</xdr:row>
      <xdr:rowOff>127000</xdr:rowOff>
    </xdr:to>
    <xdr:sp macro="" textlink="">
      <xdr:nvSpPr>
        <xdr:cNvPr id="1315" name="OpenSolver327">
          <a:extLst>
            <a:ext uri="{FF2B5EF4-FFF2-40B4-BE49-F238E27FC236}">
              <a16:creationId xmlns:a16="http://schemas.microsoft.com/office/drawing/2014/main" id="{AD9B485D-C014-4443-8481-7058686D4553}"/>
            </a:ext>
          </a:extLst>
        </xdr:cNvPr>
        <xdr:cNvSpPr/>
      </xdr:nvSpPr>
      <xdr:spPr>
        <a:xfrm>
          <a:off x="10842625" y="147955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86</xdr:row>
      <xdr:rowOff>0</xdr:rowOff>
    </xdr:from>
    <xdr:to>
      <xdr:col>27</xdr:col>
      <xdr:colOff>0</xdr:colOff>
      <xdr:row>87</xdr:row>
      <xdr:rowOff>0</xdr:rowOff>
    </xdr:to>
    <xdr:sp macro="" textlink="">
      <xdr:nvSpPr>
        <xdr:cNvPr id="1316" name="OpenSolver328">
          <a:extLst>
            <a:ext uri="{FF2B5EF4-FFF2-40B4-BE49-F238E27FC236}">
              <a16:creationId xmlns:a16="http://schemas.microsoft.com/office/drawing/2014/main" id="{55F017EE-C4CB-450C-B82C-BE9CC9C66B83}"/>
            </a:ext>
          </a:extLst>
        </xdr:cNvPr>
        <xdr:cNvSpPr/>
      </xdr:nvSpPr>
      <xdr:spPr>
        <a:xfrm>
          <a:off x="2038350" y="15843250"/>
          <a:ext cx="17983200" cy="18415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3</xdr:col>
      <xdr:colOff>0</xdr:colOff>
      <xdr:row>87</xdr:row>
      <xdr:rowOff>0</xdr:rowOff>
    </xdr:from>
    <xdr:to>
      <xdr:col>27</xdr:col>
      <xdr:colOff>0</xdr:colOff>
      <xdr:row>88</xdr:row>
      <xdr:rowOff>0</xdr:rowOff>
    </xdr:to>
    <xdr:sp macro="" textlink="">
      <xdr:nvSpPr>
        <xdr:cNvPr id="1317" name="OpenSolver329">
          <a:extLst>
            <a:ext uri="{FF2B5EF4-FFF2-40B4-BE49-F238E27FC236}">
              <a16:creationId xmlns:a16="http://schemas.microsoft.com/office/drawing/2014/main" id="{9F419FE7-68C8-400D-98AE-6355756ECB15}"/>
            </a:ext>
          </a:extLst>
        </xdr:cNvPr>
        <xdr:cNvSpPr/>
      </xdr:nvSpPr>
      <xdr:spPr>
        <a:xfrm>
          <a:off x="2038350" y="16027400"/>
          <a:ext cx="17983200" cy="18415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9900CC"/>
              </a:solidFill>
            </a:rPr>
            <a:t>≥</a:t>
          </a:r>
        </a:p>
      </xdr:txBody>
    </xdr:sp>
    <xdr:clientData/>
  </xdr:twoCellAnchor>
  <xdr:twoCellAnchor>
    <xdr:from>
      <xdr:col>15</xdr:col>
      <xdr:colOff>0</xdr:colOff>
      <xdr:row>87</xdr:row>
      <xdr:rowOff>0</xdr:rowOff>
    </xdr:from>
    <xdr:to>
      <xdr:col>15</xdr:col>
      <xdr:colOff>0</xdr:colOff>
      <xdr:row>87</xdr:row>
      <xdr:rowOff>0</xdr:rowOff>
    </xdr:to>
    <xdr:cxnSp macro="">
      <xdr:nvCxnSpPr>
        <xdr:cNvPr id="1318" name="OpenSolver330">
          <a:extLst>
            <a:ext uri="{FF2B5EF4-FFF2-40B4-BE49-F238E27FC236}">
              <a16:creationId xmlns:a16="http://schemas.microsoft.com/office/drawing/2014/main" id="{191C64E0-B8A4-4B85-911D-83A7FBCBF3A5}"/>
            </a:ext>
          </a:extLst>
        </xdr:cNvPr>
        <xdr:cNvCxnSpPr>
          <a:stCxn id="1316" idx="2"/>
          <a:endCxn id="1317" idx="0"/>
        </xdr:cNvCxnSpPr>
      </xdr:nvCxnSpPr>
      <xdr:spPr>
        <a:xfrm>
          <a:off x="11029950" y="16027400"/>
          <a:ext cx="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558800</xdr:colOff>
      <xdr:row>86</xdr:row>
      <xdr:rowOff>57150</xdr:rowOff>
    </xdr:from>
    <xdr:to>
      <xdr:col>15</xdr:col>
      <xdr:colOff>190500</xdr:colOff>
      <xdr:row>87</xdr:row>
      <xdr:rowOff>127000</xdr:rowOff>
    </xdr:to>
    <xdr:sp macro="" textlink="">
      <xdr:nvSpPr>
        <xdr:cNvPr id="1319" name="OpenSolver331">
          <a:extLst>
            <a:ext uri="{FF2B5EF4-FFF2-40B4-BE49-F238E27FC236}">
              <a16:creationId xmlns:a16="http://schemas.microsoft.com/office/drawing/2014/main" id="{13E7D616-7574-41C5-846D-8339A138E60D}"/>
            </a:ext>
          </a:extLst>
        </xdr:cNvPr>
        <xdr:cNvSpPr/>
      </xdr:nvSpPr>
      <xdr:spPr>
        <a:xfrm>
          <a:off x="10839450" y="159004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92</xdr:row>
      <xdr:rowOff>0</xdr:rowOff>
    </xdr:from>
    <xdr:to>
      <xdr:col>27</xdr:col>
      <xdr:colOff>0</xdr:colOff>
      <xdr:row>93</xdr:row>
      <xdr:rowOff>0</xdr:rowOff>
    </xdr:to>
    <xdr:sp macro="" textlink="">
      <xdr:nvSpPr>
        <xdr:cNvPr id="1320" name="OpenSolver332">
          <a:extLst>
            <a:ext uri="{FF2B5EF4-FFF2-40B4-BE49-F238E27FC236}">
              <a16:creationId xmlns:a16="http://schemas.microsoft.com/office/drawing/2014/main" id="{C3D1158F-C652-41BC-988C-E2EE4C171824}"/>
            </a:ext>
          </a:extLst>
        </xdr:cNvPr>
        <xdr:cNvSpPr/>
      </xdr:nvSpPr>
      <xdr:spPr>
        <a:xfrm>
          <a:off x="2038350" y="16948150"/>
          <a:ext cx="17983200" cy="18415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3</xdr:col>
      <xdr:colOff>0</xdr:colOff>
      <xdr:row>94</xdr:row>
      <xdr:rowOff>0</xdr:rowOff>
    </xdr:from>
    <xdr:to>
      <xdr:col>27</xdr:col>
      <xdr:colOff>0</xdr:colOff>
      <xdr:row>95</xdr:row>
      <xdr:rowOff>0</xdr:rowOff>
    </xdr:to>
    <xdr:sp macro="" textlink="">
      <xdr:nvSpPr>
        <xdr:cNvPr id="1321" name="OpenSolver333">
          <a:extLst>
            <a:ext uri="{FF2B5EF4-FFF2-40B4-BE49-F238E27FC236}">
              <a16:creationId xmlns:a16="http://schemas.microsoft.com/office/drawing/2014/main" id="{2C71A010-242C-4D5E-B1B1-51FB82526394}"/>
            </a:ext>
          </a:extLst>
        </xdr:cNvPr>
        <xdr:cNvSpPr/>
      </xdr:nvSpPr>
      <xdr:spPr>
        <a:xfrm>
          <a:off x="2038350" y="17316450"/>
          <a:ext cx="17983200" cy="18415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800000"/>
              </a:solidFill>
            </a:rPr>
            <a:t>≤</a:t>
          </a:r>
        </a:p>
      </xdr:txBody>
    </xdr:sp>
    <xdr:clientData/>
  </xdr:twoCellAnchor>
  <xdr:twoCellAnchor>
    <xdr:from>
      <xdr:col>15</xdr:col>
      <xdr:colOff>0</xdr:colOff>
      <xdr:row>93</xdr:row>
      <xdr:rowOff>0</xdr:rowOff>
    </xdr:from>
    <xdr:to>
      <xdr:col>15</xdr:col>
      <xdr:colOff>0</xdr:colOff>
      <xdr:row>94</xdr:row>
      <xdr:rowOff>0</xdr:rowOff>
    </xdr:to>
    <xdr:cxnSp macro="">
      <xdr:nvCxnSpPr>
        <xdr:cNvPr id="1322" name="OpenSolver334">
          <a:extLst>
            <a:ext uri="{FF2B5EF4-FFF2-40B4-BE49-F238E27FC236}">
              <a16:creationId xmlns:a16="http://schemas.microsoft.com/office/drawing/2014/main" id="{D8DD5448-8573-4341-A00C-64CD537C7038}"/>
            </a:ext>
          </a:extLst>
        </xdr:cNvPr>
        <xdr:cNvCxnSpPr>
          <a:stCxn id="1320" idx="2"/>
          <a:endCxn id="1321" idx="0"/>
        </xdr:cNvCxnSpPr>
      </xdr:nvCxnSpPr>
      <xdr:spPr>
        <a:xfrm>
          <a:off x="11029950" y="17132300"/>
          <a:ext cx="0" cy="18415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558800</xdr:colOff>
      <xdr:row>92</xdr:row>
      <xdr:rowOff>149225</xdr:rowOff>
    </xdr:from>
    <xdr:to>
      <xdr:col>15</xdr:col>
      <xdr:colOff>190500</xdr:colOff>
      <xdr:row>94</xdr:row>
      <xdr:rowOff>34925</xdr:rowOff>
    </xdr:to>
    <xdr:sp macro="" textlink="">
      <xdr:nvSpPr>
        <xdr:cNvPr id="1323" name="OpenSolver335">
          <a:extLst>
            <a:ext uri="{FF2B5EF4-FFF2-40B4-BE49-F238E27FC236}">
              <a16:creationId xmlns:a16="http://schemas.microsoft.com/office/drawing/2014/main" id="{6E167DE6-95DC-46D5-805A-9F352C6B5F09}"/>
            </a:ext>
          </a:extLst>
        </xdr:cNvPr>
        <xdr:cNvSpPr/>
      </xdr:nvSpPr>
      <xdr:spPr>
        <a:xfrm>
          <a:off x="10839450" y="1709737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12700</xdr:colOff>
      <xdr:row>86</xdr:row>
      <xdr:rowOff>12700</xdr:rowOff>
    </xdr:from>
    <xdr:to>
      <xdr:col>27</xdr:col>
      <xdr:colOff>0</xdr:colOff>
      <xdr:row>87</xdr:row>
      <xdr:rowOff>0</xdr:rowOff>
    </xdr:to>
    <xdr:sp macro="" textlink="">
      <xdr:nvSpPr>
        <xdr:cNvPr id="1324" name="OpenSolver336">
          <a:extLst>
            <a:ext uri="{FF2B5EF4-FFF2-40B4-BE49-F238E27FC236}">
              <a16:creationId xmlns:a16="http://schemas.microsoft.com/office/drawing/2014/main" id="{30D54410-89FC-4CA9-8558-89A8887F3069}"/>
            </a:ext>
          </a:extLst>
        </xdr:cNvPr>
        <xdr:cNvSpPr/>
      </xdr:nvSpPr>
      <xdr:spPr>
        <a:xfrm>
          <a:off x="2051050" y="15855950"/>
          <a:ext cx="17970500" cy="17145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3</xdr:col>
      <xdr:colOff>0</xdr:colOff>
      <xdr:row>88</xdr:row>
      <xdr:rowOff>0</xdr:rowOff>
    </xdr:from>
    <xdr:to>
      <xdr:col>27</xdr:col>
      <xdr:colOff>0</xdr:colOff>
      <xdr:row>89</xdr:row>
      <xdr:rowOff>0</xdr:rowOff>
    </xdr:to>
    <xdr:sp macro="" textlink="">
      <xdr:nvSpPr>
        <xdr:cNvPr id="1325" name="OpenSolver337">
          <a:extLst>
            <a:ext uri="{FF2B5EF4-FFF2-40B4-BE49-F238E27FC236}">
              <a16:creationId xmlns:a16="http://schemas.microsoft.com/office/drawing/2014/main" id="{9B82F77C-BD38-474C-B210-7D6EDA96DE34}"/>
            </a:ext>
          </a:extLst>
        </xdr:cNvPr>
        <xdr:cNvSpPr/>
      </xdr:nvSpPr>
      <xdr:spPr>
        <a:xfrm>
          <a:off x="2038350" y="16211550"/>
          <a:ext cx="17983200" cy="18415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CC33"/>
              </a:solidFill>
            </a:rPr>
            <a:t>≤</a:t>
          </a:r>
        </a:p>
      </xdr:txBody>
    </xdr:sp>
    <xdr:clientData/>
  </xdr:twoCellAnchor>
  <xdr:twoCellAnchor>
    <xdr:from>
      <xdr:col>15</xdr:col>
      <xdr:colOff>0</xdr:colOff>
      <xdr:row>87</xdr:row>
      <xdr:rowOff>0</xdr:rowOff>
    </xdr:from>
    <xdr:to>
      <xdr:col>15</xdr:col>
      <xdr:colOff>6350</xdr:colOff>
      <xdr:row>88</xdr:row>
      <xdr:rowOff>0</xdr:rowOff>
    </xdr:to>
    <xdr:cxnSp macro="">
      <xdr:nvCxnSpPr>
        <xdr:cNvPr id="1326" name="OpenSolver338">
          <a:extLst>
            <a:ext uri="{FF2B5EF4-FFF2-40B4-BE49-F238E27FC236}">
              <a16:creationId xmlns:a16="http://schemas.microsoft.com/office/drawing/2014/main" id="{8A6FCD96-CDB4-4EE6-A8D1-B98549A0B0F2}"/>
            </a:ext>
          </a:extLst>
        </xdr:cNvPr>
        <xdr:cNvCxnSpPr>
          <a:stCxn id="1324" idx="2"/>
          <a:endCxn id="1325" idx="0"/>
        </xdr:cNvCxnSpPr>
      </xdr:nvCxnSpPr>
      <xdr:spPr>
        <a:xfrm flipH="1">
          <a:off x="11029950" y="16027400"/>
          <a:ext cx="6350" cy="18415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561975</xdr:colOff>
      <xdr:row>86</xdr:row>
      <xdr:rowOff>149225</xdr:rowOff>
    </xdr:from>
    <xdr:to>
      <xdr:col>15</xdr:col>
      <xdr:colOff>193675</xdr:colOff>
      <xdr:row>88</xdr:row>
      <xdr:rowOff>34925</xdr:rowOff>
    </xdr:to>
    <xdr:sp macro="" textlink="">
      <xdr:nvSpPr>
        <xdr:cNvPr id="1327" name="OpenSolver339">
          <a:extLst>
            <a:ext uri="{FF2B5EF4-FFF2-40B4-BE49-F238E27FC236}">
              <a16:creationId xmlns:a16="http://schemas.microsoft.com/office/drawing/2014/main" id="{F85C61CD-72BB-4CC3-B503-8D8E1095DA0D}"/>
            </a:ext>
          </a:extLst>
        </xdr:cNvPr>
        <xdr:cNvSpPr/>
      </xdr:nvSpPr>
      <xdr:spPr>
        <a:xfrm>
          <a:off x="10842625" y="1599247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0</xdr:colOff>
      <xdr:row>19</xdr:row>
      <xdr:rowOff>0</xdr:rowOff>
    </xdr:from>
    <xdr:to>
      <xdr:col>27</xdr:col>
      <xdr:colOff>0</xdr:colOff>
      <xdr:row>20</xdr:row>
      <xdr:rowOff>0</xdr:rowOff>
    </xdr:to>
    <xdr:sp macro="" textlink="">
      <xdr:nvSpPr>
        <xdr:cNvPr id="1328" name="OpenSolver340">
          <a:extLst>
            <a:ext uri="{FF2B5EF4-FFF2-40B4-BE49-F238E27FC236}">
              <a16:creationId xmlns:a16="http://schemas.microsoft.com/office/drawing/2014/main" id="{1976CEB3-76B3-41DD-AC2B-0FDAE21EE7D2}"/>
            </a:ext>
          </a:extLst>
        </xdr:cNvPr>
        <xdr:cNvSpPr/>
      </xdr:nvSpPr>
      <xdr:spPr>
        <a:xfrm>
          <a:off x="2787650" y="3505200"/>
          <a:ext cx="17233900" cy="18415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4</xdr:col>
      <xdr:colOff>12700</xdr:colOff>
      <xdr:row>257</xdr:row>
      <xdr:rowOff>12700</xdr:rowOff>
    </xdr:from>
    <xdr:to>
      <xdr:col>27</xdr:col>
      <xdr:colOff>0</xdr:colOff>
      <xdr:row>258</xdr:row>
      <xdr:rowOff>0</xdr:rowOff>
    </xdr:to>
    <xdr:sp macro="" textlink="">
      <xdr:nvSpPr>
        <xdr:cNvPr id="1329" name="OpenSolver341">
          <a:extLst>
            <a:ext uri="{FF2B5EF4-FFF2-40B4-BE49-F238E27FC236}">
              <a16:creationId xmlns:a16="http://schemas.microsoft.com/office/drawing/2014/main" id="{171D4A68-32BB-4193-866D-59C054729E5D}"/>
            </a:ext>
          </a:extLst>
        </xdr:cNvPr>
        <xdr:cNvSpPr/>
      </xdr:nvSpPr>
      <xdr:spPr>
        <a:xfrm>
          <a:off x="2800350" y="47345600"/>
          <a:ext cx="17221200" cy="17145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FF6600"/>
              </a:solidFill>
            </a:rPr>
            <a:t>≤</a:t>
          </a:r>
        </a:p>
      </xdr:txBody>
    </xdr:sp>
    <xdr:clientData/>
  </xdr:twoCellAnchor>
  <xdr:twoCellAnchor>
    <xdr:from>
      <xdr:col>15</xdr:col>
      <xdr:colOff>374650</xdr:colOff>
      <xdr:row>20</xdr:row>
      <xdr:rowOff>0</xdr:rowOff>
    </xdr:from>
    <xdr:to>
      <xdr:col>15</xdr:col>
      <xdr:colOff>381000</xdr:colOff>
      <xdr:row>257</xdr:row>
      <xdr:rowOff>12700</xdr:rowOff>
    </xdr:to>
    <xdr:cxnSp macro="">
      <xdr:nvCxnSpPr>
        <xdr:cNvPr id="1330" name="OpenSolver342">
          <a:extLst>
            <a:ext uri="{FF2B5EF4-FFF2-40B4-BE49-F238E27FC236}">
              <a16:creationId xmlns:a16="http://schemas.microsoft.com/office/drawing/2014/main" id="{6A19457E-FE35-42E0-8FD2-7A7453DFA15E}"/>
            </a:ext>
          </a:extLst>
        </xdr:cNvPr>
        <xdr:cNvCxnSpPr>
          <a:stCxn id="1328" idx="2"/>
          <a:endCxn id="1329" idx="0"/>
        </xdr:cNvCxnSpPr>
      </xdr:nvCxnSpPr>
      <xdr:spPr>
        <a:xfrm>
          <a:off x="11404600" y="3689350"/>
          <a:ext cx="6350" cy="4365625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187325</xdr:colOff>
      <xdr:row>137</xdr:row>
      <xdr:rowOff>155573</xdr:rowOff>
    </xdr:from>
    <xdr:to>
      <xdr:col>15</xdr:col>
      <xdr:colOff>568325</xdr:colOff>
      <xdr:row>139</xdr:row>
      <xdr:rowOff>41273</xdr:rowOff>
    </xdr:to>
    <xdr:sp macro="" textlink="">
      <xdr:nvSpPr>
        <xdr:cNvPr id="1331" name="OpenSolver343">
          <a:extLst>
            <a:ext uri="{FF2B5EF4-FFF2-40B4-BE49-F238E27FC236}">
              <a16:creationId xmlns:a16="http://schemas.microsoft.com/office/drawing/2014/main" id="{FBD9A3CF-2DB5-4A2F-9D2D-A2B2A1FE7B3B}"/>
            </a:ext>
          </a:extLst>
        </xdr:cNvPr>
        <xdr:cNvSpPr/>
      </xdr:nvSpPr>
      <xdr:spPr>
        <a:xfrm>
          <a:off x="11217275" y="25390473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12700</xdr:colOff>
      <xdr:row>92</xdr:row>
      <xdr:rowOff>12700</xdr:rowOff>
    </xdr:from>
    <xdr:to>
      <xdr:col>27</xdr:col>
      <xdr:colOff>0</xdr:colOff>
      <xdr:row>93</xdr:row>
      <xdr:rowOff>0</xdr:rowOff>
    </xdr:to>
    <xdr:sp macro="" textlink="">
      <xdr:nvSpPr>
        <xdr:cNvPr id="1332" name="OpenSolver344">
          <a:extLst>
            <a:ext uri="{FF2B5EF4-FFF2-40B4-BE49-F238E27FC236}">
              <a16:creationId xmlns:a16="http://schemas.microsoft.com/office/drawing/2014/main" id="{6637A435-A4AE-429B-9CD8-FD68D34DB326}"/>
            </a:ext>
          </a:extLst>
        </xdr:cNvPr>
        <xdr:cNvSpPr/>
      </xdr:nvSpPr>
      <xdr:spPr>
        <a:xfrm>
          <a:off x="2051050" y="16960850"/>
          <a:ext cx="17970500" cy="17145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3</xdr:col>
      <xdr:colOff>0</xdr:colOff>
      <xdr:row>93</xdr:row>
      <xdr:rowOff>0</xdr:rowOff>
    </xdr:from>
    <xdr:to>
      <xdr:col>27</xdr:col>
      <xdr:colOff>0</xdr:colOff>
      <xdr:row>94</xdr:row>
      <xdr:rowOff>0</xdr:rowOff>
    </xdr:to>
    <xdr:sp macro="" textlink="">
      <xdr:nvSpPr>
        <xdr:cNvPr id="1333" name="OpenSolver345">
          <a:extLst>
            <a:ext uri="{FF2B5EF4-FFF2-40B4-BE49-F238E27FC236}">
              <a16:creationId xmlns:a16="http://schemas.microsoft.com/office/drawing/2014/main" id="{67EAEBF4-5414-4FB9-BD70-0CA5265196DB}"/>
            </a:ext>
          </a:extLst>
        </xdr:cNvPr>
        <xdr:cNvSpPr/>
      </xdr:nvSpPr>
      <xdr:spPr>
        <a:xfrm>
          <a:off x="2038350" y="17132300"/>
          <a:ext cx="17983200" cy="18415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CC0099"/>
              </a:solidFill>
            </a:rPr>
            <a:t>≥</a:t>
          </a:r>
        </a:p>
      </xdr:txBody>
    </xdr:sp>
    <xdr:clientData/>
  </xdr:twoCellAnchor>
  <xdr:twoCellAnchor>
    <xdr:from>
      <xdr:col>15</xdr:col>
      <xdr:colOff>0</xdr:colOff>
      <xdr:row>93</xdr:row>
      <xdr:rowOff>0</xdr:rowOff>
    </xdr:from>
    <xdr:to>
      <xdr:col>15</xdr:col>
      <xdr:colOff>6350</xdr:colOff>
      <xdr:row>93</xdr:row>
      <xdr:rowOff>0</xdr:rowOff>
    </xdr:to>
    <xdr:cxnSp macro="">
      <xdr:nvCxnSpPr>
        <xdr:cNvPr id="1334" name="OpenSolver346">
          <a:extLst>
            <a:ext uri="{FF2B5EF4-FFF2-40B4-BE49-F238E27FC236}">
              <a16:creationId xmlns:a16="http://schemas.microsoft.com/office/drawing/2014/main" id="{0089F9D6-5059-4870-949C-79F9B3E2BDC1}"/>
            </a:ext>
          </a:extLst>
        </xdr:cNvPr>
        <xdr:cNvCxnSpPr>
          <a:stCxn id="1332" idx="2"/>
          <a:endCxn id="1333" idx="0"/>
        </xdr:cNvCxnSpPr>
      </xdr:nvCxnSpPr>
      <xdr:spPr>
        <a:xfrm flipH="1">
          <a:off x="11029950" y="17132300"/>
          <a:ext cx="6350" cy="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561975</xdr:colOff>
      <xdr:row>92</xdr:row>
      <xdr:rowOff>57150</xdr:rowOff>
    </xdr:from>
    <xdr:to>
      <xdr:col>15</xdr:col>
      <xdr:colOff>193675</xdr:colOff>
      <xdr:row>93</xdr:row>
      <xdr:rowOff>127000</xdr:rowOff>
    </xdr:to>
    <xdr:sp macro="" textlink="">
      <xdr:nvSpPr>
        <xdr:cNvPr id="1335" name="OpenSolver347">
          <a:extLst>
            <a:ext uri="{FF2B5EF4-FFF2-40B4-BE49-F238E27FC236}">
              <a16:creationId xmlns:a16="http://schemas.microsoft.com/office/drawing/2014/main" id="{0A248DDB-C9E5-4160-A416-E3AEED038CAD}"/>
            </a:ext>
          </a:extLst>
        </xdr:cNvPr>
        <xdr:cNvSpPr/>
      </xdr:nvSpPr>
      <xdr:spPr>
        <a:xfrm>
          <a:off x="10842625" y="170053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0</xdr:colOff>
      <xdr:row>30</xdr:row>
      <xdr:rowOff>0</xdr:rowOff>
    </xdr:from>
    <xdr:to>
      <xdr:col>27</xdr:col>
      <xdr:colOff>0</xdr:colOff>
      <xdr:row>31</xdr:row>
      <xdr:rowOff>0</xdr:rowOff>
    </xdr:to>
    <xdr:sp macro="" textlink="">
      <xdr:nvSpPr>
        <xdr:cNvPr id="1336" name="OpenSolver348">
          <a:extLst>
            <a:ext uri="{FF2B5EF4-FFF2-40B4-BE49-F238E27FC236}">
              <a16:creationId xmlns:a16="http://schemas.microsoft.com/office/drawing/2014/main" id="{FE416C95-C7F2-4F8E-8696-574AB6FBB6FC}"/>
            </a:ext>
          </a:extLst>
        </xdr:cNvPr>
        <xdr:cNvSpPr/>
      </xdr:nvSpPr>
      <xdr:spPr>
        <a:xfrm>
          <a:off x="2787650" y="5530850"/>
          <a:ext cx="17233900" cy="1841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4</xdr:col>
      <xdr:colOff>0</xdr:colOff>
      <xdr:row>259</xdr:row>
      <xdr:rowOff>0</xdr:rowOff>
    </xdr:from>
    <xdr:to>
      <xdr:col>27</xdr:col>
      <xdr:colOff>0</xdr:colOff>
      <xdr:row>260</xdr:row>
      <xdr:rowOff>0</xdr:rowOff>
    </xdr:to>
    <xdr:sp macro="" textlink="">
      <xdr:nvSpPr>
        <xdr:cNvPr id="1337" name="OpenSolver349">
          <a:extLst>
            <a:ext uri="{FF2B5EF4-FFF2-40B4-BE49-F238E27FC236}">
              <a16:creationId xmlns:a16="http://schemas.microsoft.com/office/drawing/2014/main" id="{2584A5AD-42D7-453B-8284-1ACFC6024D38}"/>
            </a:ext>
          </a:extLst>
        </xdr:cNvPr>
        <xdr:cNvSpPr/>
      </xdr:nvSpPr>
      <xdr:spPr>
        <a:xfrm>
          <a:off x="2787650" y="47701200"/>
          <a:ext cx="17233900" cy="1841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15</xdr:col>
      <xdr:colOff>374650</xdr:colOff>
      <xdr:row>31</xdr:row>
      <xdr:rowOff>0</xdr:rowOff>
    </xdr:from>
    <xdr:to>
      <xdr:col>15</xdr:col>
      <xdr:colOff>374650</xdr:colOff>
      <xdr:row>259</xdr:row>
      <xdr:rowOff>0</xdr:rowOff>
    </xdr:to>
    <xdr:cxnSp macro="">
      <xdr:nvCxnSpPr>
        <xdr:cNvPr id="1338" name="OpenSolver350">
          <a:extLst>
            <a:ext uri="{FF2B5EF4-FFF2-40B4-BE49-F238E27FC236}">
              <a16:creationId xmlns:a16="http://schemas.microsoft.com/office/drawing/2014/main" id="{FEB186EF-1D31-4433-BD54-EC14142FC569}"/>
            </a:ext>
          </a:extLst>
        </xdr:cNvPr>
        <xdr:cNvCxnSpPr>
          <a:stCxn id="1336" idx="2"/>
          <a:endCxn id="1337" idx="0"/>
        </xdr:cNvCxnSpPr>
      </xdr:nvCxnSpPr>
      <xdr:spPr>
        <a:xfrm>
          <a:off x="11404600" y="5715000"/>
          <a:ext cx="0" cy="4198620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184150</xdr:colOff>
      <xdr:row>144</xdr:row>
      <xdr:rowOff>57150</xdr:rowOff>
    </xdr:from>
    <xdr:to>
      <xdr:col>15</xdr:col>
      <xdr:colOff>565150</xdr:colOff>
      <xdr:row>145</xdr:row>
      <xdr:rowOff>127000</xdr:rowOff>
    </xdr:to>
    <xdr:sp macro="" textlink="">
      <xdr:nvSpPr>
        <xdr:cNvPr id="1339" name="OpenSolver351">
          <a:extLst>
            <a:ext uri="{FF2B5EF4-FFF2-40B4-BE49-F238E27FC236}">
              <a16:creationId xmlns:a16="http://schemas.microsoft.com/office/drawing/2014/main" id="{ED147D55-3239-4F3D-9AC4-20BF4C2A3C57}"/>
            </a:ext>
          </a:extLst>
        </xdr:cNvPr>
        <xdr:cNvSpPr/>
      </xdr:nvSpPr>
      <xdr:spPr>
        <a:xfrm>
          <a:off x="11214100" y="265811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0</xdr:colOff>
      <xdr:row>39</xdr:row>
      <xdr:rowOff>0</xdr:rowOff>
    </xdr:from>
    <xdr:to>
      <xdr:col>27</xdr:col>
      <xdr:colOff>0</xdr:colOff>
      <xdr:row>40</xdr:row>
      <xdr:rowOff>0</xdr:rowOff>
    </xdr:to>
    <xdr:sp macro="" textlink="">
      <xdr:nvSpPr>
        <xdr:cNvPr id="1340" name="OpenSolver352">
          <a:extLst>
            <a:ext uri="{FF2B5EF4-FFF2-40B4-BE49-F238E27FC236}">
              <a16:creationId xmlns:a16="http://schemas.microsoft.com/office/drawing/2014/main" id="{5C5FCF98-B2E5-4758-9D9D-4DF659F4BA91}"/>
            </a:ext>
          </a:extLst>
        </xdr:cNvPr>
        <xdr:cNvSpPr/>
      </xdr:nvSpPr>
      <xdr:spPr>
        <a:xfrm>
          <a:off x="2787650" y="7188200"/>
          <a:ext cx="17233900" cy="1841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4</xdr:col>
      <xdr:colOff>0</xdr:colOff>
      <xdr:row>261</xdr:row>
      <xdr:rowOff>0</xdr:rowOff>
    </xdr:from>
    <xdr:to>
      <xdr:col>27</xdr:col>
      <xdr:colOff>0</xdr:colOff>
      <xdr:row>262</xdr:row>
      <xdr:rowOff>0</xdr:rowOff>
    </xdr:to>
    <xdr:sp macro="" textlink="">
      <xdr:nvSpPr>
        <xdr:cNvPr id="1341" name="OpenSolver353">
          <a:extLst>
            <a:ext uri="{FF2B5EF4-FFF2-40B4-BE49-F238E27FC236}">
              <a16:creationId xmlns:a16="http://schemas.microsoft.com/office/drawing/2014/main" id="{0D8B1058-4B15-42C4-A562-3CB9C0DBBD42}"/>
            </a:ext>
          </a:extLst>
        </xdr:cNvPr>
        <xdr:cNvSpPr/>
      </xdr:nvSpPr>
      <xdr:spPr>
        <a:xfrm>
          <a:off x="2787650" y="48069500"/>
          <a:ext cx="17233900" cy="1841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15</xdr:col>
      <xdr:colOff>374650</xdr:colOff>
      <xdr:row>40</xdr:row>
      <xdr:rowOff>0</xdr:rowOff>
    </xdr:from>
    <xdr:to>
      <xdr:col>15</xdr:col>
      <xdr:colOff>374650</xdr:colOff>
      <xdr:row>261</xdr:row>
      <xdr:rowOff>0</xdr:rowOff>
    </xdr:to>
    <xdr:cxnSp macro="">
      <xdr:nvCxnSpPr>
        <xdr:cNvPr id="1342" name="OpenSolver354">
          <a:extLst>
            <a:ext uri="{FF2B5EF4-FFF2-40B4-BE49-F238E27FC236}">
              <a16:creationId xmlns:a16="http://schemas.microsoft.com/office/drawing/2014/main" id="{063CBCF4-895D-4ED1-96BB-542E94230794}"/>
            </a:ext>
          </a:extLst>
        </xdr:cNvPr>
        <xdr:cNvCxnSpPr>
          <a:stCxn id="1340" idx="2"/>
          <a:endCxn id="1341" idx="0"/>
        </xdr:cNvCxnSpPr>
      </xdr:nvCxnSpPr>
      <xdr:spPr>
        <a:xfrm>
          <a:off x="11404600" y="7372350"/>
          <a:ext cx="0" cy="4069715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184150</xdr:colOff>
      <xdr:row>149</xdr:row>
      <xdr:rowOff>149225</xdr:rowOff>
    </xdr:from>
    <xdr:to>
      <xdr:col>15</xdr:col>
      <xdr:colOff>565150</xdr:colOff>
      <xdr:row>151</xdr:row>
      <xdr:rowOff>34925</xdr:rowOff>
    </xdr:to>
    <xdr:sp macro="" textlink="">
      <xdr:nvSpPr>
        <xdr:cNvPr id="1343" name="OpenSolver355">
          <a:extLst>
            <a:ext uri="{FF2B5EF4-FFF2-40B4-BE49-F238E27FC236}">
              <a16:creationId xmlns:a16="http://schemas.microsoft.com/office/drawing/2014/main" id="{EBF1F4E5-2A90-4A8A-AD53-606FCD55D515}"/>
            </a:ext>
          </a:extLst>
        </xdr:cNvPr>
        <xdr:cNvSpPr/>
      </xdr:nvSpPr>
      <xdr:spPr>
        <a:xfrm>
          <a:off x="11214100" y="275939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97</xdr:row>
      <xdr:rowOff>0</xdr:rowOff>
    </xdr:from>
    <xdr:to>
      <xdr:col>4</xdr:col>
      <xdr:colOff>0</xdr:colOff>
      <xdr:row>98</xdr:row>
      <xdr:rowOff>0</xdr:rowOff>
    </xdr:to>
    <xdr:sp macro="" textlink="">
      <xdr:nvSpPr>
        <xdr:cNvPr id="1344" name="OpenSolver356">
          <a:extLst>
            <a:ext uri="{FF2B5EF4-FFF2-40B4-BE49-F238E27FC236}">
              <a16:creationId xmlns:a16="http://schemas.microsoft.com/office/drawing/2014/main" id="{E381C53F-C3CC-4314-BF67-F3B4BAA67546}"/>
            </a:ext>
          </a:extLst>
        </xdr:cNvPr>
        <xdr:cNvSpPr/>
      </xdr:nvSpPr>
      <xdr:spPr>
        <a:xfrm>
          <a:off x="2038350" y="17868900"/>
          <a:ext cx="749300" cy="18415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8</xdr:col>
      <xdr:colOff>0</xdr:colOff>
      <xdr:row>97</xdr:row>
      <xdr:rowOff>0</xdr:rowOff>
    </xdr:from>
    <xdr:to>
      <xdr:col>9</xdr:col>
      <xdr:colOff>0</xdr:colOff>
      <xdr:row>98</xdr:row>
      <xdr:rowOff>0</xdr:rowOff>
    </xdr:to>
    <xdr:sp macro="" textlink="">
      <xdr:nvSpPr>
        <xdr:cNvPr id="1345" name="OpenSolver357">
          <a:extLst>
            <a:ext uri="{FF2B5EF4-FFF2-40B4-BE49-F238E27FC236}">
              <a16:creationId xmlns:a16="http://schemas.microsoft.com/office/drawing/2014/main" id="{9D0BFA04-FB53-4D2D-BF15-E5DC9E248A13}"/>
            </a:ext>
          </a:extLst>
        </xdr:cNvPr>
        <xdr:cNvSpPr/>
      </xdr:nvSpPr>
      <xdr:spPr>
        <a:xfrm>
          <a:off x="5784850" y="17868900"/>
          <a:ext cx="749300" cy="18415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9900CC"/>
              </a:solidFill>
            </a:rPr>
            <a:t>≥</a:t>
          </a:r>
        </a:p>
      </xdr:txBody>
    </xdr:sp>
    <xdr:clientData/>
  </xdr:twoCellAnchor>
  <xdr:twoCellAnchor>
    <xdr:from>
      <xdr:col>4</xdr:col>
      <xdr:colOff>0</xdr:colOff>
      <xdr:row>97</xdr:row>
      <xdr:rowOff>92075</xdr:rowOff>
    </xdr:from>
    <xdr:to>
      <xdr:col>8</xdr:col>
      <xdr:colOff>0</xdr:colOff>
      <xdr:row>97</xdr:row>
      <xdr:rowOff>92075</xdr:rowOff>
    </xdr:to>
    <xdr:cxnSp macro="">
      <xdr:nvCxnSpPr>
        <xdr:cNvPr id="1346" name="OpenSolver358">
          <a:extLst>
            <a:ext uri="{FF2B5EF4-FFF2-40B4-BE49-F238E27FC236}">
              <a16:creationId xmlns:a16="http://schemas.microsoft.com/office/drawing/2014/main" id="{839EE939-4052-4DCF-AF15-2840CBE640CD}"/>
            </a:ext>
          </a:extLst>
        </xdr:cNvPr>
        <xdr:cNvCxnSpPr>
          <a:stCxn id="1344" idx="3"/>
          <a:endCxn id="1345" idx="1"/>
        </xdr:cNvCxnSpPr>
      </xdr:nvCxnSpPr>
      <xdr:spPr>
        <a:xfrm>
          <a:off x="2787650" y="17960975"/>
          <a:ext cx="299720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558800</xdr:colOff>
      <xdr:row>96</xdr:row>
      <xdr:rowOff>149227</xdr:rowOff>
    </xdr:from>
    <xdr:to>
      <xdr:col>6</xdr:col>
      <xdr:colOff>190500</xdr:colOff>
      <xdr:row>98</xdr:row>
      <xdr:rowOff>34927</xdr:rowOff>
    </xdr:to>
    <xdr:sp macro="" textlink="">
      <xdr:nvSpPr>
        <xdr:cNvPr id="1347" name="OpenSolver359">
          <a:extLst>
            <a:ext uri="{FF2B5EF4-FFF2-40B4-BE49-F238E27FC236}">
              <a16:creationId xmlns:a16="http://schemas.microsoft.com/office/drawing/2014/main" id="{5690D720-D7A6-4BA7-A326-D9F714C2C8EF}"/>
            </a:ext>
          </a:extLst>
        </xdr:cNvPr>
        <xdr:cNvSpPr/>
      </xdr:nvSpPr>
      <xdr:spPr>
        <a:xfrm>
          <a:off x="4095750" y="17833977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0</xdr:colOff>
      <xdr:row>61</xdr:row>
      <xdr:rowOff>0</xdr:rowOff>
    </xdr:from>
    <xdr:to>
      <xdr:col>27</xdr:col>
      <xdr:colOff>0</xdr:colOff>
      <xdr:row>62</xdr:row>
      <xdr:rowOff>0</xdr:rowOff>
    </xdr:to>
    <xdr:sp macro="" textlink="">
      <xdr:nvSpPr>
        <xdr:cNvPr id="1348" name="OpenSolver360">
          <a:extLst>
            <a:ext uri="{FF2B5EF4-FFF2-40B4-BE49-F238E27FC236}">
              <a16:creationId xmlns:a16="http://schemas.microsoft.com/office/drawing/2014/main" id="{E2272667-E84B-4EE3-B68A-B6FCAB30A451}"/>
            </a:ext>
          </a:extLst>
        </xdr:cNvPr>
        <xdr:cNvSpPr/>
      </xdr:nvSpPr>
      <xdr:spPr>
        <a:xfrm>
          <a:off x="2787650" y="11239500"/>
          <a:ext cx="17233900" cy="18415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4</xdr:col>
      <xdr:colOff>0</xdr:colOff>
      <xdr:row>266</xdr:row>
      <xdr:rowOff>0</xdr:rowOff>
    </xdr:from>
    <xdr:to>
      <xdr:col>27</xdr:col>
      <xdr:colOff>0</xdr:colOff>
      <xdr:row>267</xdr:row>
      <xdr:rowOff>0</xdr:rowOff>
    </xdr:to>
    <xdr:sp macro="" textlink="">
      <xdr:nvSpPr>
        <xdr:cNvPr id="1349" name="OpenSolver361">
          <a:extLst>
            <a:ext uri="{FF2B5EF4-FFF2-40B4-BE49-F238E27FC236}">
              <a16:creationId xmlns:a16="http://schemas.microsoft.com/office/drawing/2014/main" id="{73CD695E-B588-4788-82F1-7480BC1E0F2D}"/>
            </a:ext>
          </a:extLst>
        </xdr:cNvPr>
        <xdr:cNvSpPr/>
      </xdr:nvSpPr>
      <xdr:spPr>
        <a:xfrm>
          <a:off x="2787650" y="48990250"/>
          <a:ext cx="17233900" cy="18415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800000"/>
              </a:solidFill>
            </a:rPr>
            <a:t>≤</a:t>
          </a:r>
        </a:p>
      </xdr:txBody>
    </xdr:sp>
    <xdr:clientData/>
  </xdr:twoCellAnchor>
  <xdr:twoCellAnchor>
    <xdr:from>
      <xdr:col>15</xdr:col>
      <xdr:colOff>374650</xdr:colOff>
      <xdr:row>62</xdr:row>
      <xdr:rowOff>0</xdr:rowOff>
    </xdr:from>
    <xdr:to>
      <xdr:col>15</xdr:col>
      <xdr:colOff>374650</xdr:colOff>
      <xdr:row>266</xdr:row>
      <xdr:rowOff>0</xdr:rowOff>
    </xdr:to>
    <xdr:cxnSp macro="">
      <xdr:nvCxnSpPr>
        <xdr:cNvPr id="1350" name="OpenSolver362">
          <a:extLst>
            <a:ext uri="{FF2B5EF4-FFF2-40B4-BE49-F238E27FC236}">
              <a16:creationId xmlns:a16="http://schemas.microsoft.com/office/drawing/2014/main" id="{73FE253F-83E8-4C79-9D3F-E90A0931A8B0}"/>
            </a:ext>
          </a:extLst>
        </xdr:cNvPr>
        <xdr:cNvCxnSpPr>
          <a:stCxn id="1348" idx="2"/>
          <a:endCxn id="1349" idx="0"/>
        </xdr:cNvCxnSpPr>
      </xdr:nvCxnSpPr>
      <xdr:spPr>
        <a:xfrm>
          <a:off x="11404600" y="11423650"/>
          <a:ext cx="0" cy="3756660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184150</xdr:colOff>
      <xdr:row>163</xdr:row>
      <xdr:rowOff>57150</xdr:rowOff>
    </xdr:from>
    <xdr:to>
      <xdr:col>15</xdr:col>
      <xdr:colOff>565150</xdr:colOff>
      <xdr:row>164</xdr:row>
      <xdr:rowOff>127000</xdr:rowOff>
    </xdr:to>
    <xdr:sp macro="" textlink="">
      <xdr:nvSpPr>
        <xdr:cNvPr id="1351" name="OpenSolver363">
          <a:extLst>
            <a:ext uri="{FF2B5EF4-FFF2-40B4-BE49-F238E27FC236}">
              <a16:creationId xmlns:a16="http://schemas.microsoft.com/office/drawing/2014/main" id="{28434923-C2F3-47BA-91D5-2A7779A876D3}"/>
            </a:ext>
          </a:extLst>
        </xdr:cNvPr>
        <xdr:cNvSpPr/>
      </xdr:nvSpPr>
      <xdr:spPr>
        <a:xfrm>
          <a:off x="11214100" y="300799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0</xdr:colOff>
      <xdr:row>40</xdr:row>
      <xdr:rowOff>0</xdr:rowOff>
    </xdr:from>
    <xdr:to>
      <xdr:col>27</xdr:col>
      <xdr:colOff>0</xdr:colOff>
      <xdr:row>41</xdr:row>
      <xdr:rowOff>0</xdr:rowOff>
    </xdr:to>
    <xdr:sp macro="" textlink="">
      <xdr:nvSpPr>
        <xdr:cNvPr id="1352" name="OpenSolver364">
          <a:extLst>
            <a:ext uri="{FF2B5EF4-FFF2-40B4-BE49-F238E27FC236}">
              <a16:creationId xmlns:a16="http://schemas.microsoft.com/office/drawing/2014/main" id="{C8862D90-F380-406A-A8C9-3EF5FEDAC572}"/>
            </a:ext>
          </a:extLst>
        </xdr:cNvPr>
        <xdr:cNvSpPr/>
      </xdr:nvSpPr>
      <xdr:spPr>
        <a:xfrm>
          <a:off x="2787650" y="7372350"/>
          <a:ext cx="17233900" cy="18415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4</xdr:col>
      <xdr:colOff>12700</xdr:colOff>
      <xdr:row>261</xdr:row>
      <xdr:rowOff>12700</xdr:rowOff>
    </xdr:from>
    <xdr:to>
      <xdr:col>27</xdr:col>
      <xdr:colOff>0</xdr:colOff>
      <xdr:row>262</xdr:row>
      <xdr:rowOff>0</xdr:rowOff>
    </xdr:to>
    <xdr:sp macro="" textlink="">
      <xdr:nvSpPr>
        <xdr:cNvPr id="1353" name="OpenSolver365">
          <a:extLst>
            <a:ext uri="{FF2B5EF4-FFF2-40B4-BE49-F238E27FC236}">
              <a16:creationId xmlns:a16="http://schemas.microsoft.com/office/drawing/2014/main" id="{9A4BD7BD-F378-4C35-91D2-8ABB8EB05D71}"/>
            </a:ext>
          </a:extLst>
        </xdr:cNvPr>
        <xdr:cNvSpPr/>
      </xdr:nvSpPr>
      <xdr:spPr>
        <a:xfrm>
          <a:off x="2800350" y="48082200"/>
          <a:ext cx="17221200" cy="17145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CC33"/>
              </a:solidFill>
            </a:rPr>
            <a:t>≤</a:t>
          </a:r>
        </a:p>
      </xdr:txBody>
    </xdr:sp>
    <xdr:clientData/>
  </xdr:twoCellAnchor>
  <xdr:twoCellAnchor>
    <xdr:from>
      <xdr:col>15</xdr:col>
      <xdr:colOff>374650</xdr:colOff>
      <xdr:row>41</xdr:row>
      <xdr:rowOff>0</xdr:rowOff>
    </xdr:from>
    <xdr:to>
      <xdr:col>15</xdr:col>
      <xdr:colOff>381000</xdr:colOff>
      <xdr:row>261</xdr:row>
      <xdr:rowOff>12700</xdr:rowOff>
    </xdr:to>
    <xdr:cxnSp macro="">
      <xdr:nvCxnSpPr>
        <xdr:cNvPr id="1354" name="OpenSolver366">
          <a:extLst>
            <a:ext uri="{FF2B5EF4-FFF2-40B4-BE49-F238E27FC236}">
              <a16:creationId xmlns:a16="http://schemas.microsoft.com/office/drawing/2014/main" id="{75697195-7C50-433E-B136-CB397BA61A4F}"/>
            </a:ext>
          </a:extLst>
        </xdr:cNvPr>
        <xdr:cNvCxnSpPr>
          <a:stCxn id="1352" idx="2"/>
          <a:endCxn id="1353" idx="0"/>
        </xdr:cNvCxnSpPr>
      </xdr:nvCxnSpPr>
      <xdr:spPr>
        <a:xfrm>
          <a:off x="11404600" y="7556500"/>
          <a:ext cx="6350" cy="4052570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187325</xdr:colOff>
      <xdr:row>150</xdr:row>
      <xdr:rowOff>63500</xdr:rowOff>
    </xdr:from>
    <xdr:to>
      <xdr:col>15</xdr:col>
      <xdr:colOff>568325</xdr:colOff>
      <xdr:row>151</xdr:row>
      <xdr:rowOff>133350</xdr:rowOff>
    </xdr:to>
    <xdr:sp macro="" textlink="">
      <xdr:nvSpPr>
        <xdr:cNvPr id="1355" name="OpenSolver367">
          <a:extLst>
            <a:ext uri="{FF2B5EF4-FFF2-40B4-BE49-F238E27FC236}">
              <a16:creationId xmlns:a16="http://schemas.microsoft.com/office/drawing/2014/main" id="{6B85CBE8-BCE1-4E82-B144-D06DD09C76DC}"/>
            </a:ext>
          </a:extLst>
        </xdr:cNvPr>
        <xdr:cNvSpPr/>
      </xdr:nvSpPr>
      <xdr:spPr>
        <a:xfrm>
          <a:off x="11217275" y="276923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0</xdr:colOff>
      <xdr:row>74</xdr:row>
      <xdr:rowOff>0</xdr:rowOff>
    </xdr:from>
    <xdr:to>
      <xdr:col>27</xdr:col>
      <xdr:colOff>0</xdr:colOff>
      <xdr:row>75</xdr:row>
      <xdr:rowOff>0</xdr:rowOff>
    </xdr:to>
    <xdr:sp macro="" textlink="">
      <xdr:nvSpPr>
        <xdr:cNvPr id="1356" name="OpenSolver368">
          <a:extLst>
            <a:ext uri="{FF2B5EF4-FFF2-40B4-BE49-F238E27FC236}">
              <a16:creationId xmlns:a16="http://schemas.microsoft.com/office/drawing/2014/main" id="{32E19D1B-76F4-47A2-8962-ECA77BD037F6}"/>
            </a:ext>
          </a:extLst>
        </xdr:cNvPr>
        <xdr:cNvSpPr/>
      </xdr:nvSpPr>
      <xdr:spPr>
        <a:xfrm>
          <a:off x="2787650" y="13633450"/>
          <a:ext cx="17233900" cy="18415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4</xdr:col>
      <xdr:colOff>12700</xdr:colOff>
      <xdr:row>268</xdr:row>
      <xdr:rowOff>12700</xdr:rowOff>
    </xdr:from>
    <xdr:to>
      <xdr:col>27</xdr:col>
      <xdr:colOff>0</xdr:colOff>
      <xdr:row>269</xdr:row>
      <xdr:rowOff>0</xdr:rowOff>
    </xdr:to>
    <xdr:sp macro="" textlink="">
      <xdr:nvSpPr>
        <xdr:cNvPr id="1357" name="OpenSolver369">
          <a:extLst>
            <a:ext uri="{FF2B5EF4-FFF2-40B4-BE49-F238E27FC236}">
              <a16:creationId xmlns:a16="http://schemas.microsoft.com/office/drawing/2014/main" id="{1B929D54-D2C0-42C6-98A9-738859C611F2}"/>
            </a:ext>
          </a:extLst>
        </xdr:cNvPr>
        <xdr:cNvSpPr/>
      </xdr:nvSpPr>
      <xdr:spPr>
        <a:xfrm>
          <a:off x="2800350" y="49371250"/>
          <a:ext cx="17221200" cy="17145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FF6600"/>
              </a:solidFill>
            </a:rPr>
            <a:t>≤</a:t>
          </a:r>
        </a:p>
      </xdr:txBody>
    </xdr:sp>
    <xdr:clientData/>
  </xdr:twoCellAnchor>
  <xdr:twoCellAnchor>
    <xdr:from>
      <xdr:col>15</xdr:col>
      <xdr:colOff>374650</xdr:colOff>
      <xdr:row>75</xdr:row>
      <xdr:rowOff>0</xdr:rowOff>
    </xdr:from>
    <xdr:to>
      <xdr:col>15</xdr:col>
      <xdr:colOff>381000</xdr:colOff>
      <xdr:row>268</xdr:row>
      <xdr:rowOff>12700</xdr:rowOff>
    </xdr:to>
    <xdr:cxnSp macro="">
      <xdr:nvCxnSpPr>
        <xdr:cNvPr id="1358" name="OpenSolver370">
          <a:extLst>
            <a:ext uri="{FF2B5EF4-FFF2-40B4-BE49-F238E27FC236}">
              <a16:creationId xmlns:a16="http://schemas.microsoft.com/office/drawing/2014/main" id="{BE6F8A6A-766F-4FBF-AA3E-60237A0EA38F}"/>
            </a:ext>
          </a:extLst>
        </xdr:cNvPr>
        <xdr:cNvCxnSpPr>
          <a:stCxn id="1356" idx="2"/>
          <a:endCxn id="1357" idx="0"/>
        </xdr:cNvCxnSpPr>
      </xdr:nvCxnSpPr>
      <xdr:spPr>
        <a:xfrm>
          <a:off x="11404600" y="13817600"/>
          <a:ext cx="6350" cy="3555365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187325</xdr:colOff>
      <xdr:row>170</xdr:row>
      <xdr:rowOff>155575</xdr:rowOff>
    </xdr:from>
    <xdr:to>
      <xdr:col>15</xdr:col>
      <xdr:colOff>568325</xdr:colOff>
      <xdr:row>172</xdr:row>
      <xdr:rowOff>41275</xdr:rowOff>
    </xdr:to>
    <xdr:sp macro="" textlink="">
      <xdr:nvSpPr>
        <xdr:cNvPr id="1359" name="OpenSolver371">
          <a:extLst>
            <a:ext uri="{FF2B5EF4-FFF2-40B4-BE49-F238E27FC236}">
              <a16:creationId xmlns:a16="http://schemas.microsoft.com/office/drawing/2014/main" id="{FC18BC89-A710-4DA8-B600-F4E893EC5E5C}"/>
            </a:ext>
          </a:extLst>
        </xdr:cNvPr>
        <xdr:cNvSpPr/>
      </xdr:nvSpPr>
      <xdr:spPr>
        <a:xfrm>
          <a:off x="11217275" y="314674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0</xdr:colOff>
      <xdr:row>95</xdr:row>
      <xdr:rowOff>0</xdr:rowOff>
    </xdr:from>
    <xdr:to>
      <xdr:col>27</xdr:col>
      <xdr:colOff>0</xdr:colOff>
      <xdr:row>96</xdr:row>
      <xdr:rowOff>0</xdr:rowOff>
    </xdr:to>
    <xdr:sp macro="" textlink="">
      <xdr:nvSpPr>
        <xdr:cNvPr id="1360" name="OpenSolver372">
          <a:extLst>
            <a:ext uri="{FF2B5EF4-FFF2-40B4-BE49-F238E27FC236}">
              <a16:creationId xmlns:a16="http://schemas.microsoft.com/office/drawing/2014/main" id="{D72D3822-0C5D-4644-B0B4-15891CA0BF77}"/>
            </a:ext>
          </a:extLst>
        </xdr:cNvPr>
        <xdr:cNvSpPr/>
      </xdr:nvSpPr>
      <xdr:spPr>
        <a:xfrm>
          <a:off x="2787650" y="17500600"/>
          <a:ext cx="17233900" cy="18415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4</xdr:col>
      <xdr:colOff>12700</xdr:colOff>
      <xdr:row>272</xdr:row>
      <xdr:rowOff>12700</xdr:rowOff>
    </xdr:from>
    <xdr:to>
      <xdr:col>27</xdr:col>
      <xdr:colOff>0</xdr:colOff>
      <xdr:row>273</xdr:row>
      <xdr:rowOff>0</xdr:rowOff>
    </xdr:to>
    <xdr:sp macro="" textlink="">
      <xdr:nvSpPr>
        <xdr:cNvPr id="1361" name="OpenSolver373">
          <a:extLst>
            <a:ext uri="{FF2B5EF4-FFF2-40B4-BE49-F238E27FC236}">
              <a16:creationId xmlns:a16="http://schemas.microsoft.com/office/drawing/2014/main" id="{4C490B31-D0F1-46D3-A3DA-3BAC179B974A}"/>
            </a:ext>
          </a:extLst>
        </xdr:cNvPr>
        <xdr:cNvSpPr/>
      </xdr:nvSpPr>
      <xdr:spPr>
        <a:xfrm>
          <a:off x="2800350" y="50107850"/>
          <a:ext cx="17221200" cy="17145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CC0099"/>
              </a:solidFill>
            </a:rPr>
            <a:t>≤</a:t>
          </a:r>
        </a:p>
      </xdr:txBody>
    </xdr:sp>
    <xdr:clientData/>
  </xdr:twoCellAnchor>
  <xdr:twoCellAnchor>
    <xdr:from>
      <xdr:col>15</xdr:col>
      <xdr:colOff>374650</xdr:colOff>
      <xdr:row>96</xdr:row>
      <xdr:rowOff>0</xdr:rowOff>
    </xdr:from>
    <xdr:to>
      <xdr:col>15</xdr:col>
      <xdr:colOff>381000</xdr:colOff>
      <xdr:row>272</xdr:row>
      <xdr:rowOff>12700</xdr:rowOff>
    </xdr:to>
    <xdr:cxnSp macro="">
      <xdr:nvCxnSpPr>
        <xdr:cNvPr id="1362" name="OpenSolver374">
          <a:extLst>
            <a:ext uri="{FF2B5EF4-FFF2-40B4-BE49-F238E27FC236}">
              <a16:creationId xmlns:a16="http://schemas.microsoft.com/office/drawing/2014/main" id="{FC564655-7085-47AE-B808-21423E98DCE5}"/>
            </a:ext>
          </a:extLst>
        </xdr:cNvPr>
        <xdr:cNvCxnSpPr>
          <a:stCxn id="1360" idx="2"/>
          <a:endCxn id="1361" idx="0"/>
        </xdr:cNvCxnSpPr>
      </xdr:nvCxnSpPr>
      <xdr:spPr>
        <a:xfrm>
          <a:off x="11404600" y="17684750"/>
          <a:ext cx="6350" cy="3242310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187325</xdr:colOff>
      <xdr:row>183</xdr:row>
      <xdr:rowOff>63500</xdr:rowOff>
    </xdr:from>
    <xdr:to>
      <xdr:col>15</xdr:col>
      <xdr:colOff>568325</xdr:colOff>
      <xdr:row>184</xdr:row>
      <xdr:rowOff>133350</xdr:rowOff>
    </xdr:to>
    <xdr:sp macro="" textlink="">
      <xdr:nvSpPr>
        <xdr:cNvPr id="1363" name="OpenSolver375">
          <a:extLst>
            <a:ext uri="{FF2B5EF4-FFF2-40B4-BE49-F238E27FC236}">
              <a16:creationId xmlns:a16="http://schemas.microsoft.com/office/drawing/2014/main" id="{9BBE11F4-84A9-466F-9091-B019B8DAA6C1}"/>
            </a:ext>
          </a:extLst>
        </xdr:cNvPr>
        <xdr:cNvSpPr/>
      </xdr:nvSpPr>
      <xdr:spPr>
        <a:xfrm>
          <a:off x="11217275" y="337693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0</xdr:colOff>
      <xdr:row>116</xdr:row>
      <xdr:rowOff>0</xdr:rowOff>
    </xdr:from>
    <xdr:to>
      <xdr:col>27</xdr:col>
      <xdr:colOff>0</xdr:colOff>
      <xdr:row>117</xdr:row>
      <xdr:rowOff>0</xdr:rowOff>
    </xdr:to>
    <xdr:sp macro="" textlink="">
      <xdr:nvSpPr>
        <xdr:cNvPr id="1364" name="OpenSolver376">
          <a:extLst>
            <a:ext uri="{FF2B5EF4-FFF2-40B4-BE49-F238E27FC236}">
              <a16:creationId xmlns:a16="http://schemas.microsoft.com/office/drawing/2014/main" id="{F0289A25-3FF3-4EA3-9F70-CB235808F3F4}"/>
            </a:ext>
          </a:extLst>
        </xdr:cNvPr>
        <xdr:cNvSpPr/>
      </xdr:nvSpPr>
      <xdr:spPr>
        <a:xfrm>
          <a:off x="2787650" y="21367750"/>
          <a:ext cx="17233900" cy="1841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4</xdr:col>
      <xdr:colOff>12700</xdr:colOff>
      <xdr:row>276</xdr:row>
      <xdr:rowOff>12700</xdr:rowOff>
    </xdr:from>
    <xdr:to>
      <xdr:col>27</xdr:col>
      <xdr:colOff>0</xdr:colOff>
      <xdr:row>277</xdr:row>
      <xdr:rowOff>0</xdr:rowOff>
    </xdr:to>
    <xdr:sp macro="" textlink="">
      <xdr:nvSpPr>
        <xdr:cNvPr id="1365" name="OpenSolver377">
          <a:extLst>
            <a:ext uri="{FF2B5EF4-FFF2-40B4-BE49-F238E27FC236}">
              <a16:creationId xmlns:a16="http://schemas.microsoft.com/office/drawing/2014/main" id="{D37012E3-42A6-4D65-98E2-AC76B4CE10A0}"/>
            </a:ext>
          </a:extLst>
        </xdr:cNvPr>
        <xdr:cNvSpPr/>
      </xdr:nvSpPr>
      <xdr:spPr>
        <a:xfrm>
          <a:off x="2800350" y="50844450"/>
          <a:ext cx="17221200" cy="1714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15</xdr:col>
      <xdr:colOff>374650</xdr:colOff>
      <xdr:row>117</xdr:row>
      <xdr:rowOff>0</xdr:rowOff>
    </xdr:from>
    <xdr:to>
      <xdr:col>15</xdr:col>
      <xdr:colOff>381000</xdr:colOff>
      <xdr:row>276</xdr:row>
      <xdr:rowOff>12700</xdr:rowOff>
    </xdr:to>
    <xdr:cxnSp macro="">
      <xdr:nvCxnSpPr>
        <xdr:cNvPr id="1366" name="OpenSolver378">
          <a:extLst>
            <a:ext uri="{FF2B5EF4-FFF2-40B4-BE49-F238E27FC236}">
              <a16:creationId xmlns:a16="http://schemas.microsoft.com/office/drawing/2014/main" id="{1E7DFC0E-0482-471C-803F-DBEB5839BDD8}"/>
            </a:ext>
          </a:extLst>
        </xdr:cNvPr>
        <xdr:cNvCxnSpPr>
          <a:stCxn id="1364" idx="2"/>
          <a:endCxn id="1365" idx="0"/>
        </xdr:cNvCxnSpPr>
      </xdr:nvCxnSpPr>
      <xdr:spPr>
        <a:xfrm>
          <a:off x="11404600" y="21551900"/>
          <a:ext cx="6350" cy="2929255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187325</xdr:colOff>
      <xdr:row>195</xdr:row>
      <xdr:rowOff>155575</xdr:rowOff>
    </xdr:from>
    <xdr:to>
      <xdr:col>15</xdr:col>
      <xdr:colOff>568325</xdr:colOff>
      <xdr:row>197</xdr:row>
      <xdr:rowOff>41275</xdr:rowOff>
    </xdr:to>
    <xdr:sp macro="" textlink="">
      <xdr:nvSpPr>
        <xdr:cNvPr id="1367" name="OpenSolver379">
          <a:extLst>
            <a:ext uri="{FF2B5EF4-FFF2-40B4-BE49-F238E27FC236}">
              <a16:creationId xmlns:a16="http://schemas.microsoft.com/office/drawing/2014/main" id="{516F31F3-6CE6-486E-A8B8-468CA2FF8992}"/>
            </a:ext>
          </a:extLst>
        </xdr:cNvPr>
        <xdr:cNvSpPr/>
      </xdr:nvSpPr>
      <xdr:spPr>
        <a:xfrm>
          <a:off x="11217275" y="3607117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211</xdr:row>
      <xdr:rowOff>0</xdr:rowOff>
    </xdr:from>
    <xdr:to>
      <xdr:col>27</xdr:col>
      <xdr:colOff>0</xdr:colOff>
      <xdr:row>212</xdr:row>
      <xdr:rowOff>0</xdr:rowOff>
    </xdr:to>
    <xdr:sp macro="" textlink="">
      <xdr:nvSpPr>
        <xdr:cNvPr id="1368" name="OpenSolver380">
          <a:extLst>
            <a:ext uri="{FF2B5EF4-FFF2-40B4-BE49-F238E27FC236}">
              <a16:creationId xmlns:a16="http://schemas.microsoft.com/office/drawing/2014/main" id="{C15428A9-7492-49E6-A890-AD969B3AD38A}"/>
            </a:ext>
          </a:extLst>
        </xdr:cNvPr>
        <xdr:cNvSpPr/>
      </xdr:nvSpPr>
      <xdr:spPr>
        <a:xfrm>
          <a:off x="2038350" y="38862000"/>
          <a:ext cx="17983200" cy="1841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3</xdr:col>
      <xdr:colOff>12700</xdr:colOff>
      <xdr:row>295</xdr:row>
      <xdr:rowOff>12700</xdr:rowOff>
    </xdr:from>
    <xdr:to>
      <xdr:col>27</xdr:col>
      <xdr:colOff>0</xdr:colOff>
      <xdr:row>296</xdr:row>
      <xdr:rowOff>0</xdr:rowOff>
    </xdr:to>
    <xdr:sp macro="" textlink="">
      <xdr:nvSpPr>
        <xdr:cNvPr id="1369" name="OpenSolver381">
          <a:extLst>
            <a:ext uri="{FF2B5EF4-FFF2-40B4-BE49-F238E27FC236}">
              <a16:creationId xmlns:a16="http://schemas.microsoft.com/office/drawing/2014/main" id="{0F1B8E19-55D9-4239-BF77-98847DEC1B98}"/>
            </a:ext>
          </a:extLst>
        </xdr:cNvPr>
        <xdr:cNvSpPr/>
      </xdr:nvSpPr>
      <xdr:spPr>
        <a:xfrm>
          <a:off x="2051050" y="54343300"/>
          <a:ext cx="17970500" cy="1714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15</xdr:col>
      <xdr:colOff>0</xdr:colOff>
      <xdr:row>212</xdr:row>
      <xdr:rowOff>0</xdr:rowOff>
    </xdr:from>
    <xdr:to>
      <xdr:col>15</xdr:col>
      <xdr:colOff>6350</xdr:colOff>
      <xdr:row>295</xdr:row>
      <xdr:rowOff>12700</xdr:rowOff>
    </xdr:to>
    <xdr:cxnSp macro="">
      <xdr:nvCxnSpPr>
        <xdr:cNvPr id="1370" name="OpenSolver382">
          <a:extLst>
            <a:ext uri="{FF2B5EF4-FFF2-40B4-BE49-F238E27FC236}">
              <a16:creationId xmlns:a16="http://schemas.microsoft.com/office/drawing/2014/main" id="{25A586C9-84C4-4A9B-A175-08F44DB5C1F8}"/>
            </a:ext>
          </a:extLst>
        </xdr:cNvPr>
        <xdr:cNvCxnSpPr>
          <a:stCxn id="1368" idx="2"/>
          <a:endCxn id="1369" idx="0"/>
        </xdr:cNvCxnSpPr>
      </xdr:nvCxnSpPr>
      <xdr:spPr>
        <a:xfrm>
          <a:off x="11029950" y="39046150"/>
          <a:ext cx="6350" cy="1529715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561975</xdr:colOff>
      <xdr:row>252</xdr:row>
      <xdr:rowOff>155578</xdr:rowOff>
    </xdr:from>
    <xdr:to>
      <xdr:col>15</xdr:col>
      <xdr:colOff>193675</xdr:colOff>
      <xdr:row>254</xdr:row>
      <xdr:rowOff>41278</xdr:rowOff>
    </xdr:to>
    <xdr:sp macro="" textlink="">
      <xdr:nvSpPr>
        <xdr:cNvPr id="1371" name="OpenSolver383">
          <a:extLst>
            <a:ext uri="{FF2B5EF4-FFF2-40B4-BE49-F238E27FC236}">
              <a16:creationId xmlns:a16="http://schemas.microsoft.com/office/drawing/2014/main" id="{4D2AB622-4E52-4FE0-A7A6-8FE4F7434865}"/>
            </a:ext>
          </a:extLst>
        </xdr:cNvPr>
        <xdr:cNvSpPr/>
      </xdr:nvSpPr>
      <xdr:spPr>
        <a:xfrm>
          <a:off x="10842625" y="46567728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162</xdr:row>
      <xdr:rowOff>0</xdr:rowOff>
    </xdr:from>
    <xdr:to>
      <xdr:col>4</xdr:col>
      <xdr:colOff>0</xdr:colOff>
      <xdr:row>163</xdr:row>
      <xdr:rowOff>0</xdr:rowOff>
    </xdr:to>
    <xdr:sp macro="" textlink="">
      <xdr:nvSpPr>
        <xdr:cNvPr id="1372" name="OpenSolver384">
          <a:extLst>
            <a:ext uri="{FF2B5EF4-FFF2-40B4-BE49-F238E27FC236}">
              <a16:creationId xmlns:a16="http://schemas.microsoft.com/office/drawing/2014/main" id="{68ED4AB4-69C7-4D4A-84FD-12C3A5E09626}"/>
            </a:ext>
          </a:extLst>
        </xdr:cNvPr>
        <xdr:cNvSpPr/>
      </xdr:nvSpPr>
      <xdr:spPr>
        <a:xfrm>
          <a:off x="2038350" y="29838650"/>
          <a:ext cx="749300" cy="18415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6</xdr:col>
      <xdr:colOff>0</xdr:colOff>
      <xdr:row>162</xdr:row>
      <xdr:rowOff>0</xdr:rowOff>
    </xdr:from>
    <xdr:to>
      <xdr:col>7</xdr:col>
      <xdr:colOff>0</xdr:colOff>
      <xdr:row>163</xdr:row>
      <xdr:rowOff>0</xdr:rowOff>
    </xdr:to>
    <xdr:sp macro="" textlink="">
      <xdr:nvSpPr>
        <xdr:cNvPr id="1373" name="OpenSolver385">
          <a:extLst>
            <a:ext uri="{FF2B5EF4-FFF2-40B4-BE49-F238E27FC236}">
              <a16:creationId xmlns:a16="http://schemas.microsoft.com/office/drawing/2014/main" id="{C5CBAB8E-7D9A-41B7-88B0-923AC1AC2A72}"/>
            </a:ext>
          </a:extLst>
        </xdr:cNvPr>
        <xdr:cNvSpPr/>
      </xdr:nvSpPr>
      <xdr:spPr>
        <a:xfrm>
          <a:off x="4286250" y="29838650"/>
          <a:ext cx="749300" cy="18415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9900CC"/>
              </a:solidFill>
            </a:rPr>
            <a:t>≥</a:t>
          </a:r>
        </a:p>
      </xdr:txBody>
    </xdr:sp>
    <xdr:clientData/>
  </xdr:twoCellAnchor>
  <xdr:twoCellAnchor>
    <xdr:from>
      <xdr:col>4</xdr:col>
      <xdr:colOff>0</xdr:colOff>
      <xdr:row>162</xdr:row>
      <xdr:rowOff>92075</xdr:rowOff>
    </xdr:from>
    <xdr:to>
      <xdr:col>6</xdr:col>
      <xdr:colOff>0</xdr:colOff>
      <xdr:row>162</xdr:row>
      <xdr:rowOff>92075</xdr:rowOff>
    </xdr:to>
    <xdr:cxnSp macro="">
      <xdr:nvCxnSpPr>
        <xdr:cNvPr id="1374" name="OpenSolver386">
          <a:extLst>
            <a:ext uri="{FF2B5EF4-FFF2-40B4-BE49-F238E27FC236}">
              <a16:creationId xmlns:a16="http://schemas.microsoft.com/office/drawing/2014/main" id="{A35D74F2-1602-498A-8BEC-2439AFAE6AF9}"/>
            </a:ext>
          </a:extLst>
        </xdr:cNvPr>
        <xdr:cNvCxnSpPr>
          <a:stCxn id="1372" idx="3"/>
          <a:endCxn id="1373" idx="1"/>
        </xdr:cNvCxnSpPr>
      </xdr:nvCxnSpPr>
      <xdr:spPr>
        <a:xfrm>
          <a:off x="2787650" y="29930725"/>
          <a:ext cx="149860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558800</xdr:colOff>
      <xdr:row>161</xdr:row>
      <xdr:rowOff>149225</xdr:rowOff>
    </xdr:from>
    <xdr:to>
      <xdr:col>5</xdr:col>
      <xdr:colOff>190500</xdr:colOff>
      <xdr:row>163</xdr:row>
      <xdr:rowOff>34925</xdr:rowOff>
    </xdr:to>
    <xdr:sp macro="" textlink="">
      <xdr:nvSpPr>
        <xdr:cNvPr id="1375" name="OpenSolver387">
          <a:extLst>
            <a:ext uri="{FF2B5EF4-FFF2-40B4-BE49-F238E27FC236}">
              <a16:creationId xmlns:a16="http://schemas.microsoft.com/office/drawing/2014/main" id="{C4C34CED-AB42-497B-82D4-4CA64D1D7289}"/>
            </a:ext>
          </a:extLst>
        </xdr:cNvPr>
        <xdr:cNvSpPr/>
      </xdr:nvSpPr>
      <xdr:spPr>
        <a:xfrm>
          <a:off x="3346450" y="298037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12700</xdr:colOff>
      <xdr:row>14</xdr:row>
      <xdr:rowOff>12700</xdr:rowOff>
    </xdr:from>
    <xdr:to>
      <xdr:col>27</xdr:col>
      <xdr:colOff>0</xdr:colOff>
      <xdr:row>15</xdr:row>
      <xdr:rowOff>0</xdr:rowOff>
    </xdr:to>
    <xdr:sp macro="" textlink="">
      <xdr:nvSpPr>
        <xdr:cNvPr id="1376" name="OpenSolver388">
          <a:extLst>
            <a:ext uri="{FF2B5EF4-FFF2-40B4-BE49-F238E27FC236}">
              <a16:creationId xmlns:a16="http://schemas.microsoft.com/office/drawing/2014/main" id="{B64E0AAE-7776-435D-A9FF-26C2C816EBE2}"/>
            </a:ext>
          </a:extLst>
        </xdr:cNvPr>
        <xdr:cNvSpPr/>
      </xdr:nvSpPr>
      <xdr:spPr>
        <a:xfrm>
          <a:off x="2051050" y="2597150"/>
          <a:ext cx="17970500" cy="17145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3</xdr:col>
      <xdr:colOff>0</xdr:colOff>
      <xdr:row>15</xdr:row>
      <xdr:rowOff>0</xdr:rowOff>
    </xdr:from>
    <xdr:to>
      <xdr:col>27</xdr:col>
      <xdr:colOff>0</xdr:colOff>
      <xdr:row>16</xdr:row>
      <xdr:rowOff>0</xdr:rowOff>
    </xdr:to>
    <xdr:sp macro="" textlink="">
      <xdr:nvSpPr>
        <xdr:cNvPr id="1377" name="OpenSolver389">
          <a:extLst>
            <a:ext uri="{FF2B5EF4-FFF2-40B4-BE49-F238E27FC236}">
              <a16:creationId xmlns:a16="http://schemas.microsoft.com/office/drawing/2014/main" id="{12914B31-7285-44F6-BAF5-7BD75710F7C5}"/>
            </a:ext>
          </a:extLst>
        </xdr:cNvPr>
        <xdr:cNvSpPr/>
      </xdr:nvSpPr>
      <xdr:spPr>
        <a:xfrm>
          <a:off x="2038350" y="2768600"/>
          <a:ext cx="17983200" cy="18415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800000"/>
              </a:solidFill>
            </a:rPr>
            <a:t>≥</a:t>
          </a:r>
        </a:p>
      </xdr:txBody>
    </xdr:sp>
    <xdr:clientData/>
  </xdr:twoCellAnchor>
  <xdr:twoCellAnchor>
    <xdr:from>
      <xdr:col>15</xdr:col>
      <xdr:colOff>0</xdr:colOff>
      <xdr:row>15</xdr:row>
      <xdr:rowOff>0</xdr:rowOff>
    </xdr:from>
    <xdr:to>
      <xdr:col>15</xdr:col>
      <xdr:colOff>6350</xdr:colOff>
      <xdr:row>15</xdr:row>
      <xdr:rowOff>0</xdr:rowOff>
    </xdr:to>
    <xdr:cxnSp macro="">
      <xdr:nvCxnSpPr>
        <xdr:cNvPr id="1378" name="OpenSolver390">
          <a:extLst>
            <a:ext uri="{FF2B5EF4-FFF2-40B4-BE49-F238E27FC236}">
              <a16:creationId xmlns:a16="http://schemas.microsoft.com/office/drawing/2014/main" id="{9CB2B4F0-9E74-44EB-9987-61BDA2FBEE85}"/>
            </a:ext>
          </a:extLst>
        </xdr:cNvPr>
        <xdr:cNvCxnSpPr>
          <a:stCxn id="1376" idx="2"/>
          <a:endCxn id="1377" idx="0"/>
        </xdr:cNvCxnSpPr>
      </xdr:nvCxnSpPr>
      <xdr:spPr>
        <a:xfrm flipH="1">
          <a:off x="11029950" y="2768600"/>
          <a:ext cx="6350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561975</xdr:colOff>
      <xdr:row>14</xdr:row>
      <xdr:rowOff>57150</xdr:rowOff>
    </xdr:from>
    <xdr:to>
      <xdr:col>15</xdr:col>
      <xdr:colOff>193675</xdr:colOff>
      <xdr:row>15</xdr:row>
      <xdr:rowOff>127000</xdr:rowOff>
    </xdr:to>
    <xdr:sp macro="" textlink="">
      <xdr:nvSpPr>
        <xdr:cNvPr id="1379" name="OpenSolver391">
          <a:extLst>
            <a:ext uri="{FF2B5EF4-FFF2-40B4-BE49-F238E27FC236}">
              <a16:creationId xmlns:a16="http://schemas.microsoft.com/office/drawing/2014/main" id="{9E08E0D4-B867-46AB-ADFD-EC2D7AF549E2}"/>
            </a:ext>
          </a:extLst>
        </xdr:cNvPr>
        <xdr:cNvSpPr/>
      </xdr:nvSpPr>
      <xdr:spPr>
        <a:xfrm>
          <a:off x="10842625" y="26416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169</xdr:row>
      <xdr:rowOff>0</xdr:rowOff>
    </xdr:from>
    <xdr:to>
      <xdr:col>4</xdr:col>
      <xdr:colOff>0</xdr:colOff>
      <xdr:row>170</xdr:row>
      <xdr:rowOff>0</xdr:rowOff>
    </xdr:to>
    <xdr:sp macro="" textlink="">
      <xdr:nvSpPr>
        <xdr:cNvPr id="1380" name="OpenSolver392">
          <a:extLst>
            <a:ext uri="{FF2B5EF4-FFF2-40B4-BE49-F238E27FC236}">
              <a16:creationId xmlns:a16="http://schemas.microsoft.com/office/drawing/2014/main" id="{C548CDEF-10B5-4248-9D90-0CC86473C100}"/>
            </a:ext>
          </a:extLst>
        </xdr:cNvPr>
        <xdr:cNvSpPr/>
      </xdr:nvSpPr>
      <xdr:spPr>
        <a:xfrm>
          <a:off x="2038350" y="31127700"/>
          <a:ext cx="749300" cy="18415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6</xdr:col>
      <xdr:colOff>0</xdr:colOff>
      <xdr:row>169</xdr:row>
      <xdr:rowOff>0</xdr:rowOff>
    </xdr:from>
    <xdr:to>
      <xdr:col>7</xdr:col>
      <xdr:colOff>0</xdr:colOff>
      <xdr:row>170</xdr:row>
      <xdr:rowOff>0</xdr:rowOff>
    </xdr:to>
    <xdr:sp macro="" textlink="">
      <xdr:nvSpPr>
        <xdr:cNvPr id="1381" name="OpenSolver393">
          <a:extLst>
            <a:ext uri="{FF2B5EF4-FFF2-40B4-BE49-F238E27FC236}">
              <a16:creationId xmlns:a16="http://schemas.microsoft.com/office/drawing/2014/main" id="{5368E5B9-A445-44CF-BC42-E410C71A443A}"/>
            </a:ext>
          </a:extLst>
        </xdr:cNvPr>
        <xdr:cNvSpPr/>
      </xdr:nvSpPr>
      <xdr:spPr>
        <a:xfrm>
          <a:off x="4286250" y="31127700"/>
          <a:ext cx="749300" cy="18415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CC33"/>
              </a:solidFill>
            </a:rPr>
            <a:t>≥</a:t>
          </a:r>
        </a:p>
      </xdr:txBody>
    </xdr:sp>
    <xdr:clientData/>
  </xdr:twoCellAnchor>
  <xdr:twoCellAnchor>
    <xdr:from>
      <xdr:col>4</xdr:col>
      <xdr:colOff>0</xdr:colOff>
      <xdr:row>169</xdr:row>
      <xdr:rowOff>92075</xdr:rowOff>
    </xdr:from>
    <xdr:to>
      <xdr:col>6</xdr:col>
      <xdr:colOff>0</xdr:colOff>
      <xdr:row>169</xdr:row>
      <xdr:rowOff>92075</xdr:rowOff>
    </xdr:to>
    <xdr:cxnSp macro="">
      <xdr:nvCxnSpPr>
        <xdr:cNvPr id="1382" name="OpenSolver394">
          <a:extLst>
            <a:ext uri="{FF2B5EF4-FFF2-40B4-BE49-F238E27FC236}">
              <a16:creationId xmlns:a16="http://schemas.microsoft.com/office/drawing/2014/main" id="{4FB48F09-1530-4AF8-B8C6-FC1D42B84204}"/>
            </a:ext>
          </a:extLst>
        </xdr:cNvPr>
        <xdr:cNvCxnSpPr>
          <a:stCxn id="1380" idx="3"/>
          <a:endCxn id="1381" idx="1"/>
        </xdr:cNvCxnSpPr>
      </xdr:nvCxnSpPr>
      <xdr:spPr>
        <a:xfrm>
          <a:off x="2787650" y="31219775"/>
          <a:ext cx="1498600" cy="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558800</xdr:colOff>
      <xdr:row>168</xdr:row>
      <xdr:rowOff>149225</xdr:rowOff>
    </xdr:from>
    <xdr:to>
      <xdr:col>5</xdr:col>
      <xdr:colOff>190500</xdr:colOff>
      <xdr:row>170</xdr:row>
      <xdr:rowOff>34925</xdr:rowOff>
    </xdr:to>
    <xdr:sp macro="" textlink="">
      <xdr:nvSpPr>
        <xdr:cNvPr id="1383" name="OpenSolver395">
          <a:extLst>
            <a:ext uri="{FF2B5EF4-FFF2-40B4-BE49-F238E27FC236}">
              <a16:creationId xmlns:a16="http://schemas.microsoft.com/office/drawing/2014/main" id="{3840305C-3283-41EB-BCEA-DDD0B151C38E}"/>
            </a:ext>
          </a:extLst>
        </xdr:cNvPr>
        <xdr:cNvSpPr/>
      </xdr:nvSpPr>
      <xdr:spPr>
        <a:xfrm>
          <a:off x="3346450" y="3109277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289</xdr:row>
      <xdr:rowOff>0</xdr:rowOff>
    </xdr:from>
    <xdr:to>
      <xdr:col>27</xdr:col>
      <xdr:colOff>0</xdr:colOff>
      <xdr:row>290</xdr:row>
      <xdr:rowOff>0</xdr:rowOff>
    </xdr:to>
    <xdr:sp macro="" textlink="">
      <xdr:nvSpPr>
        <xdr:cNvPr id="1384" name="OpenSolverD290:AA290">
          <a:extLst>
            <a:ext uri="{FF2B5EF4-FFF2-40B4-BE49-F238E27FC236}">
              <a16:creationId xmlns:a16="http://schemas.microsoft.com/office/drawing/2014/main" id="{C21DF467-CDEB-4A24-A1FD-0B846AA3A1CA}"/>
            </a:ext>
          </a:extLst>
        </xdr:cNvPr>
        <xdr:cNvSpPr/>
      </xdr:nvSpPr>
      <xdr:spPr>
        <a:xfrm>
          <a:off x="2038350" y="53225700"/>
          <a:ext cx="17983200" cy="18415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FF6600"/>
              </a:solidFill>
            </a:rPr>
            <a:t>3750≥</a:t>
          </a:r>
        </a:p>
      </xdr:txBody>
    </xdr:sp>
    <xdr:clientData/>
  </xdr:twoCellAnchor>
  <xdr:twoCellAnchor>
    <xdr:from>
      <xdr:col>3</xdr:col>
      <xdr:colOff>12700</xdr:colOff>
      <xdr:row>68</xdr:row>
      <xdr:rowOff>12700</xdr:rowOff>
    </xdr:from>
    <xdr:to>
      <xdr:col>27</xdr:col>
      <xdr:colOff>0</xdr:colOff>
      <xdr:row>69</xdr:row>
      <xdr:rowOff>0</xdr:rowOff>
    </xdr:to>
    <xdr:sp macro="" textlink="">
      <xdr:nvSpPr>
        <xdr:cNvPr id="1385" name="OpenSolver397">
          <a:extLst>
            <a:ext uri="{FF2B5EF4-FFF2-40B4-BE49-F238E27FC236}">
              <a16:creationId xmlns:a16="http://schemas.microsoft.com/office/drawing/2014/main" id="{E7B8C58C-13D9-475D-B4CC-A240AA600641}"/>
            </a:ext>
          </a:extLst>
        </xdr:cNvPr>
        <xdr:cNvSpPr/>
      </xdr:nvSpPr>
      <xdr:spPr>
        <a:xfrm>
          <a:off x="2051050" y="12541250"/>
          <a:ext cx="17970500" cy="17145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3</xdr:col>
      <xdr:colOff>0</xdr:colOff>
      <xdr:row>70</xdr:row>
      <xdr:rowOff>0</xdr:rowOff>
    </xdr:from>
    <xdr:to>
      <xdr:col>27</xdr:col>
      <xdr:colOff>0</xdr:colOff>
      <xdr:row>71</xdr:row>
      <xdr:rowOff>0</xdr:rowOff>
    </xdr:to>
    <xdr:sp macro="" textlink="">
      <xdr:nvSpPr>
        <xdr:cNvPr id="1386" name="OpenSolver398">
          <a:extLst>
            <a:ext uri="{FF2B5EF4-FFF2-40B4-BE49-F238E27FC236}">
              <a16:creationId xmlns:a16="http://schemas.microsoft.com/office/drawing/2014/main" id="{EAD494AA-4E1A-4FC6-A796-2E5B654F709C}"/>
            </a:ext>
          </a:extLst>
        </xdr:cNvPr>
        <xdr:cNvSpPr/>
      </xdr:nvSpPr>
      <xdr:spPr>
        <a:xfrm>
          <a:off x="2038350" y="12896850"/>
          <a:ext cx="17983200" cy="18415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CC0099"/>
              </a:solidFill>
            </a:rPr>
            <a:t>≤</a:t>
          </a:r>
        </a:p>
      </xdr:txBody>
    </xdr:sp>
    <xdr:clientData/>
  </xdr:twoCellAnchor>
  <xdr:twoCellAnchor>
    <xdr:from>
      <xdr:col>15</xdr:col>
      <xdr:colOff>0</xdr:colOff>
      <xdr:row>69</xdr:row>
      <xdr:rowOff>0</xdr:rowOff>
    </xdr:from>
    <xdr:to>
      <xdr:col>15</xdr:col>
      <xdr:colOff>6350</xdr:colOff>
      <xdr:row>70</xdr:row>
      <xdr:rowOff>0</xdr:rowOff>
    </xdr:to>
    <xdr:cxnSp macro="">
      <xdr:nvCxnSpPr>
        <xdr:cNvPr id="1387" name="OpenSolver399">
          <a:extLst>
            <a:ext uri="{FF2B5EF4-FFF2-40B4-BE49-F238E27FC236}">
              <a16:creationId xmlns:a16="http://schemas.microsoft.com/office/drawing/2014/main" id="{B36C4D7A-4E78-46AC-8BA1-E4A61116D1A6}"/>
            </a:ext>
          </a:extLst>
        </xdr:cNvPr>
        <xdr:cNvCxnSpPr>
          <a:stCxn id="1385" idx="2"/>
          <a:endCxn id="1386" idx="0"/>
        </xdr:cNvCxnSpPr>
      </xdr:nvCxnSpPr>
      <xdr:spPr>
        <a:xfrm flipH="1">
          <a:off x="11029950" y="12712700"/>
          <a:ext cx="6350" cy="18415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561975</xdr:colOff>
      <xdr:row>68</xdr:row>
      <xdr:rowOff>149225</xdr:rowOff>
    </xdr:from>
    <xdr:to>
      <xdr:col>15</xdr:col>
      <xdr:colOff>193675</xdr:colOff>
      <xdr:row>70</xdr:row>
      <xdr:rowOff>34925</xdr:rowOff>
    </xdr:to>
    <xdr:sp macro="" textlink="">
      <xdr:nvSpPr>
        <xdr:cNvPr id="1388" name="OpenSolver400">
          <a:extLst>
            <a:ext uri="{FF2B5EF4-FFF2-40B4-BE49-F238E27FC236}">
              <a16:creationId xmlns:a16="http://schemas.microsoft.com/office/drawing/2014/main" id="{D1825271-6DCC-4A16-BD9C-AB4F73036FD9}"/>
            </a:ext>
          </a:extLst>
        </xdr:cNvPr>
        <xdr:cNvSpPr/>
      </xdr:nvSpPr>
      <xdr:spPr>
        <a:xfrm>
          <a:off x="10842625" y="1267777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0</xdr:colOff>
      <xdr:row>62</xdr:row>
      <xdr:rowOff>0</xdr:rowOff>
    </xdr:from>
    <xdr:to>
      <xdr:col>27</xdr:col>
      <xdr:colOff>0</xdr:colOff>
      <xdr:row>63</xdr:row>
      <xdr:rowOff>0</xdr:rowOff>
    </xdr:to>
    <xdr:sp macro="" textlink="">
      <xdr:nvSpPr>
        <xdr:cNvPr id="1389" name="OpenSolver401">
          <a:extLst>
            <a:ext uri="{FF2B5EF4-FFF2-40B4-BE49-F238E27FC236}">
              <a16:creationId xmlns:a16="http://schemas.microsoft.com/office/drawing/2014/main" id="{15EBAFF7-2B17-4090-BEE8-B7E902ACDD8E}"/>
            </a:ext>
          </a:extLst>
        </xdr:cNvPr>
        <xdr:cNvSpPr/>
      </xdr:nvSpPr>
      <xdr:spPr>
        <a:xfrm>
          <a:off x="2787650" y="11423650"/>
          <a:ext cx="17233900" cy="1841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4</xdr:col>
      <xdr:colOff>12700</xdr:colOff>
      <xdr:row>266</xdr:row>
      <xdr:rowOff>12700</xdr:rowOff>
    </xdr:from>
    <xdr:to>
      <xdr:col>27</xdr:col>
      <xdr:colOff>0</xdr:colOff>
      <xdr:row>267</xdr:row>
      <xdr:rowOff>0</xdr:rowOff>
    </xdr:to>
    <xdr:sp macro="" textlink="">
      <xdr:nvSpPr>
        <xdr:cNvPr id="1390" name="OpenSolver402">
          <a:extLst>
            <a:ext uri="{FF2B5EF4-FFF2-40B4-BE49-F238E27FC236}">
              <a16:creationId xmlns:a16="http://schemas.microsoft.com/office/drawing/2014/main" id="{BE8A4D63-16BB-449A-8812-F80672D65E26}"/>
            </a:ext>
          </a:extLst>
        </xdr:cNvPr>
        <xdr:cNvSpPr/>
      </xdr:nvSpPr>
      <xdr:spPr>
        <a:xfrm>
          <a:off x="2800350" y="49002950"/>
          <a:ext cx="17221200" cy="1714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15</xdr:col>
      <xdr:colOff>374650</xdr:colOff>
      <xdr:row>63</xdr:row>
      <xdr:rowOff>0</xdr:rowOff>
    </xdr:from>
    <xdr:to>
      <xdr:col>15</xdr:col>
      <xdr:colOff>381000</xdr:colOff>
      <xdr:row>266</xdr:row>
      <xdr:rowOff>12700</xdr:rowOff>
    </xdr:to>
    <xdr:cxnSp macro="">
      <xdr:nvCxnSpPr>
        <xdr:cNvPr id="1391" name="OpenSolver403">
          <a:extLst>
            <a:ext uri="{FF2B5EF4-FFF2-40B4-BE49-F238E27FC236}">
              <a16:creationId xmlns:a16="http://schemas.microsoft.com/office/drawing/2014/main" id="{5FD1F50B-3FE7-4DA0-92D8-D5458F66C020}"/>
            </a:ext>
          </a:extLst>
        </xdr:cNvPr>
        <xdr:cNvCxnSpPr>
          <a:stCxn id="1389" idx="2"/>
          <a:endCxn id="1390" idx="0"/>
        </xdr:cNvCxnSpPr>
      </xdr:nvCxnSpPr>
      <xdr:spPr>
        <a:xfrm>
          <a:off x="11404600" y="11607800"/>
          <a:ext cx="6350" cy="3739515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187325</xdr:colOff>
      <xdr:row>163</xdr:row>
      <xdr:rowOff>155575</xdr:rowOff>
    </xdr:from>
    <xdr:to>
      <xdr:col>15</xdr:col>
      <xdr:colOff>568325</xdr:colOff>
      <xdr:row>165</xdr:row>
      <xdr:rowOff>41275</xdr:rowOff>
    </xdr:to>
    <xdr:sp macro="" textlink="">
      <xdr:nvSpPr>
        <xdr:cNvPr id="1392" name="OpenSolver404">
          <a:extLst>
            <a:ext uri="{FF2B5EF4-FFF2-40B4-BE49-F238E27FC236}">
              <a16:creationId xmlns:a16="http://schemas.microsoft.com/office/drawing/2014/main" id="{ED854229-9073-4A5D-B707-0470D287E481}"/>
            </a:ext>
          </a:extLst>
        </xdr:cNvPr>
        <xdr:cNvSpPr/>
      </xdr:nvSpPr>
      <xdr:spPr>
        <a:xfrm>
          <a:off x="11217275" y="3017837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12700</xdr:colOff>
      <xdr:row>25</xdr:row>
      <xdr:rowOff>12700</xdr:rowOff>
    </xdr:from>
    <xdr:to>
      <xdr:col>27</xdr:col>
      <xdr:colOff>0</xdr:colOff>
      <xdr:row>26</xdr:row>
      <xdr:rowOff>0</xdr:rowOff>
    </xdr:to>
    <xdr:sp macro="" textlink="">
      <xdr:nvSpPr>
        <xdr:cNvPr id="1393" name="OpenSolver405">
          <a:extLst>
            <a:ext uri="{FF2B5EF4-FFF2-40B4-BE49-F238E27FC236}">
              <a16:creationId xmlns:a16="http://schemas.microsoft.com/office/drawing/2014/main" id="{FFFEDF80-4D28-4700-88E7-26A6C953C8BB}"/>
            </a:ext>
          </a:extLst>
        </xdr:cNvPr>
        <xdr:cNvSpPr/>
      </xdr:nvSpPr>
      <xdr:spPr>
        <a:xfrm>
          <a:off x="2051050" y="4622800"/>
          <a:ext cx="17970500" cy="1714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27</xdr:col>
      <xdr:colOff>0</xdr:colOff>
      <xdr:row>28</xdr:row>
      <xdr:rowOff>0</xdr:rowOff>
    </xdr:to>
    <xdr:sp macro="" textlink="">
      <xdr:nvSpPr>
        <xdr:cNvPr id="1394" name="OpenSolver406">
          <a:extLst>
            <a:ext uri="{FF2B5EF4-FFF2-40B4-BE49-F238E27FC236}">
              <a16:creationId xmlns:a16="http://schemas.microsoft.com/office/drawing/2014/main" id="{5BF95314-63B6-479B-9592-F76BFA6CB535}"/>
            </a:ext>
          </a:extLst>
        </xdr:cNvPr>
        <xdr:cNvSpPr/>
      </xdr:nvSpPr>
      <xdr:spPr>
        <a:xfrm>
          <a:off x="2038350" y="4978400"/>
          <a:ext cx="17983200" cy="1841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15</xdr:col>
      <xdr:colOff>0</xdr:colOff>
      <xdr:row>26</xdr:row>
      <xdr:rowOff>0</xdr:rowOff>
    </xdr:from>
    <xdr:to>
      <xdr:col>15</xdr:col>
      <xdr:colOff>6350</xdr:colOff>
      <xdr:row>27</xdr:row>
      <xdr:rowOff>0</xdr:rowOff>
    </xdr:to>
    <xdr:cxnSp macro="">
      <xdr:nvCxnSpPr>
        <xdr:cNvPr id="1395" name="OpenSolver407">
          <a:extLst>
            <a:ext uri="{FF2B5EF4-FFF2-40B4-BE49-F238E27FC236}">
              <a16:creationId xmlns:a16="http://schemas.microsoft.com/office/drawing/2014/main" id="{1CCB523F-4C65-42E1-8B39-C9A06AF44A8E}"/>
            </a:ext>
          </a:extLst>
        </xdr:cNvPr>
        <xdr:cNvCxnSpPr>
          <a:stCxn id="1393" idx="2"/>
          <a:endCxn id="1394" idx="0"/>
        </xdr:cNvCxnSpPr>
      </xdr:nvCxnSpPr>
      <xdr:spPr>
        <a:xfrm flipH="1">
          <a:off x="11029950" y="4794250"/>
          <a:ext cx="6350" cy="18415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561975</xdr:colOff>
      <xdr:row>25</xdr:row>
      <xdr:rowOff>149225</xdr:rowOff>
    </xdr:from>
    <xdr:to>
      <xdr:col>15</xdr:col>
      <xdr:colOff>193675</xdr:colOff>
      <xdr:row>27</xdr:row>
      <xdr:rowOff>34925</xdr:rowOff>
    </xdr:to>
    <xdr:sp macro="" textlink="">
      <xdr:nvSpPr>
        <xdr:cNvPr id="1396" name="OpenSolver408">
          <a:extLst>
            <a:ext uri="{FF2B5EF4-FFF2-40B4-BE49-F238E27FC236}">
              <a16:creationId xmlns:a16="http://schemas.microsoft.com/office/drawing/2014/main" id="{CE38737B-3041-4853-8ABD-4C5235CE3275}"/>
            </a:ext>
          </a:extLst>
        </xdr:cNvPr>
        <xdr:cNvSpPr/>
      </xdr:nvSpPr>
      <xdr:spPr>
        <a:xfrm>
          <a:off x="10842625" y="47593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4</xdr:col>
      <xdr:colOff>0</xdr:colOff>
      <xdr:row>198</xdr:row>
      <xdr:rowOff>0</xdr:rowOff>
    </xdr:to>
    <xdr:sp macro="" textlink="">
      <xdr:nvSpPr>
        <xdr:cNvPr id="1397" name="OpenSolver409">
          <a:extLst>
            <a:ext uri="{FF2B5EF4-FFF2-40B4-BE49-F238E27FC236}">
              <a16:creationId xmlns:a16="http://schemas.microsoft.com/office/drawing/2014/main" id="{4F40ACB9-C7C1-4675-BD42-4EDC6B6669A2}"/>
            </a:ext>
          </a:extLst>
        </xdr:cNvPr>
        <xdr:cNvSpPr/>
      </xdr:nvSpPr>
      <xdr:spPr>
        <a:xfrm>
          <a:off x="2038350" y="36283900"/>
          <a:ext cx="749300" cy="18415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7</xdr:col>
      <xdr:colOff>0</xdr:colOff>
      <xdr:row>198</xdr:row>
      <xdr:rowOff>0</xdr:rowOff>
    </xdr:to>
    <xdr:sp macro="" textlink="">
      <xdr:nvSpPr>
        <xdr:cNvPr id="1398" name="OpenSolver410">
          <a:extLst>
            <a:ext uri="{FF2B5EF4-FFF2-40B4-BE49-F238E27FC236}">
              <a16:creationId xmlns:a16="http://schemas.microsoft.com/office/drawing/2014/main" id="{CFEBADD1-D4B0-40BF-A356-06C1963BE6F3}"/>
            </a:ext>
          </a:extLst>
        </xdr:cNvPr>
        <xdr:cNvSpPr/>
      </xdr:nvSpPr>
      <xdr:spPr>
        <a:xfrm>
          <a:off x="4286250" y="36283900"/>
          <a:ext cx="749300" cy="18415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9900CC"/>
              </a:solidFill>
            </a:rPr>
            <a:t>≥</a:t>
          </a:r>
        </a:p>
      </xdr:txBody>
    </xdr:sp>
    <xdr:clientData/>
  </xdr:twoCellAnchor>
  <xdr:twoCellAnchor>
    <xdr:from>
      <xdr:col>4</xdr:col>
      <xdr:colOff>0</xdr:colOff>
      <xdr:row>197</xdr:row>
      <xdr:rowOff>92075</xdr:rowOff>
    </xdr:from>
    <xdr:to>
      <xdr:col>6</xdr:col>
      <xdr:colOff>0</xdr:colOff>
      <xdr:row>197</xdr:row>
      <xdr:rowOff>92075</xdr:rowOff>
    </xdr:to>
    <xdr:cxnSp macro="">
      <xdr:nvCxnSpPr>
        <xdr:cNvPr id="1399" name="OpenSolver411">
          <a:extLst>
            <a:ext uri="{FF2B5EF4-FFF2-40B4-BE49-F238E27FC236}">
              <a16:creationId xmlns:a16="http://schemas.microsoft.com/office/drawing/2014/main" id="{1084A2E4-D26E-4A8E-9841-FF0588458B1F}"/>
            </a:ext>
          </a:extLst>
        </xdr:cNvPr>
        <xdr:cNvCxnSpPr>
          <a:stCxn id="1397" idx="3"/>
          <a:endCxn id="1398" idx="1"/>
        </xdr:cNvCxnSpPr>
      </xdr:nvCxnSpPr>
      <xdr:spPr>
        <a:xfrm>
          <a:off x="2787650" y="36375975"/>
          <a:ext cx="149860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558800</xdr:colOff>
      <xdr:row>196</xdr:row>
      <xdr:rowOff>149225</xdr:rowOff>
    </xdr:from>
    <xdr:to>
      <xdr:col>5</xdr:col>
      <xdr:colOff>190500</xdr:colOff>
      <xdr:row>198</xdr:row>
      <xdr:rowOff>34925</xdr:rowOff>
    </xdr:to>
    <xdr:sp macro="" textlink="">
      <xdr:nvSpPr>
        <xdr:cNvPr id="1400" name="OpenSolver412">
          <a:extLst>
            <a:ext uri="{FF2B5EF4-FFF2-40B4-BE49-F238E27FC236}">
              <a16:creationId xmlns:a16="http://schemas.microsoft.com/office/drawing/2014/main" id="{FBE6E986-84F7-4B47-B4E6-B9E7040868E7}"/>
            </a:ext>
          </a:extLst>
        </xdr:cNvPr>
        <xdr:cNvSpPr/>
      </xdr:nvSpPr>
      <xdr:spPr>
        <a:xfrm>
          <a:off x="3346450" y="3624897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186</xdr:row>
      <xdr:rowOff>0</xdr:rowOff>
    </xdr:from>
    <xdr:to>
      <xdr:col>4</xdr:col>
      <xdr:colOff>0</xdr:colOff>
      <xdr:row>187</xdr:row>
      <xdr:rowOff>0</xdr:rowOff>
    </xdr:to>
    <xdr:sp macro="" textlink="">
      <xdr:nvSpPr>
        <xdr:cNvPr id="1401" name="OpenSolver413">
          <a:extLst>
            <a:ext uri="{FF2B5EF4-FFF2-40B4-BE49-F238E27FC236}">
              <a16:creationId xmlns:a16="http://schemas.microsoft.com/office/drawing/2014/main" id="{E4403B87-C5E9-4E34-B21F-965A0409615C}"/>
            </a:ext>
          </a:extLst>
        </xdr:cNvPr>
        <xdr:cNvSpPr/>
      </xdr:nvSpPr>
      <xdr:spPr>
        <a:xfrm>
          <a:off x="2038350" y="34258250"/>
          <a:ext cx="749300" cy="18415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6</xdr:col>
      <xdr:colOff>0</xdr:colOff>
      <xdr:row>186</xdr:row>
      <xdr:rowOff>0</xdr:rowOff>
    </xdr:from>
    <xdr:to>
      <xdr:col>7</xdr:col>
      <xdr:colOff>0</xdr:colOff>
      <xdr:row>187</xdr:row>
      <xdr:rowOff>0</xdr:rowOff>
    </xdr:to>
    <xdr:sp macro="" textlink="">
      <xdr:nvSpPr>
        <xdr:cNvPr id="1402" name="OpenSolver414">
          <a:extLst>
            <a:ext uri="{FF2B5EF4-FFF2-40B4-BE49-F238E27FC236}">
              <a16:creationId xmlns:a16="http://schemas.microsoft.com/office/drawing/2014/main" id="{55B8A26D-D8B6-4C0D-9A2E-02B6AF446F01}"/>
            </a:ext>
          </a:extLst>
        </xdr:cNvPr>
        <xdr:cNvSpPr/>
      </xdr:nvSpPr>
      <xdr:spPr>
        <a:xfrm>
          <a:off x="4286250" y="34258250"/>
          <a:ext cx="749300" cy="18415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800000"/>
              </a:solidFill>
            </a:rPr>
            <a:t>≥</a:t>
          </a:r>
        </a:p>
      </xdr:txBody>
    </xdr:sp>
    <xdr:clientData/>
  </xdr:twoCellAnchor>
  <xdr:twoCellAnchor>
    <xdr:from>
      <xdr:col>4</xdr:col>
      <xdr:colOff>0</xdr:colOff>
      <xdr:row>186</xdr:row>
      <xdr:rowOff>92075</xdr:rowOff>
    </xdr:from>
    <xdr:to>
      <xdr:col>6</xdr:col>
      <xdr:colOff>0</xdr:colOff>
      <xdr:row>186</xdr:row>
      <xdr:rowOff>92075</xdr:rowOff>
    </xdr:to>
    <xdr:cxnSp macro="">
      <xdr:nvCxnSpPr>
        <xdr:cNvPr id="1403" name="OpenSolver415">
          <a:extLst>
            <a:ext uri="{FF2B5EF4-FFF2-40B4-BE49-F238E27FC236}">
              <a16:creationId xmlns:a16="http://schemas.microsoft.com/office/drawing/2014/main" id="{0E76B0B6-F3F5-4A53-894D-90A234C85116}"/>
            </a:ext>
          </a:extLst>
        </xdr:cNvPr>
        <xdr:cNvCxnSpPr>
          <a:stCxn id="1401" idx="3"/>
          <a:endCxn id="1402" idx="1"/>
        </xdr:cNvCxnSpPr>
      </xdr:nvCxnSpPr>
      <xdr:spPr>
        <a:xfrm>
          <a:off x="2787650" y="34350325"/>
          <a:ext cx="1498600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558800</xdr:colOff>
      <xdr:row>185</xdr:row>
      <xdr:rowOff>149225</xdr:rowOff>
    </xdr:from>
    <xdr:to>
      <xdr:col>5</xdr:col>
      <xdr:colOff>190500</xdr:colOff>
      <xdr:row>187</xdr:row>
      <xdr:rowOff>34925</xdr:rowOff>
    </xdr:to>
    <xdr:sp macro="" textlink="">
      <xdr:nvSpPr>
        <xdr:cNvPr id="1404" name="OpenSolver416">
          <a:extLst>
            <a:ext uri="{FF2B5EF4-FFF2-40B4-BE49-F238E27FC236}">
              <a16:creationId xmlns:a16="http://schemas.microsoft.com/office/drawing/2014/main" id="{2920B9A3-C92A-4ECD-BEFB-CFB78C233714}"/>
            </a:ext>
          </a:extLst>
        </xdr:cNvPr>
        <xdr:cNvSpPr/>
      </xdr:nvSpPr>
      <xdr:spPr>
        <a:xfrm>
          <a:off x="3346450" y="342233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176</xdr:row>
      <xdr:rowOff>0</xdr:rowOff>
    </xdr:from>
    <xdr:to>
      <xdr:col>4</xdr:col>
      <xdr:colOff>0</xdr:colOff>
      <xdr:row>177</xdr:row>
      <xdr:rowOff>0</xdr:rowOff>
    </xdr:to>
    <xdr:sp macro="" textlink="">
      <xdr:nvSpPr>
        <xdr:cNvPr id="1405" name="OpenSolver417">
          <a:extLst>
            <a:ext uri="{FF2B5EF4-FFF2-40B4-BE49-F238E27FC236}">
              <a16:creationId xmlns:a16="http://schemas.microsoft.com/office/drawing/2014/main" id="{B0F65234-1D92-4E3F-B786-4153ABB91982}"/>
            </a:ext>
          </a:extLst>
        </xdr:cNvPr>
        <xdr:cNvSpPr/>
      </xdr:nvSpPr>
      <xdr:spPr>
        <a:xfrm>
          <a:off x="2038350" y="32416750"/>
          <a:ext cx="749300" cy="18415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6</xdr:col>
      <xdr:colOff>0</xdr:colOff>
      <xdr:row>176</xdr:row>
      <xdr:rowOff>0</xdr:rowOff>
    </xdr:from>
    <xdr:to>
      <xdr:col>7</xdr:col>
      <xdr:colOff>0</xdr:colOff>
      <xdr:row>177</xdr:row>
      <xdr:rowOff>0</xdr:rowOff>
    </xdr:to>
    <xdr:sp macro="" textlink="">
      <xdr:nvSpPr>
        <xdr:cNvPr id="1406" name="OpenSolver418">
          <a:extLst>
            <a:ext uri="{FF2B5EF4-FFF2-40B4-BE49-F238E27FC236}">
              <a16:creationId xmlns:a16="http://schemas.microsoft.com/office/drawing/2014/main" id="{8066DC66-62A8-4361-9F60-026F7A6CE51A}"/>
            </a:ext>
          </a:extLst>
        </xdr:cNvPr>
        <xdr:cNvSpPr/>
      </xdr:nvSpPr>
      <xdr:spPr>
        <a:xfrm>
          <a:off x="4286250" y="32416750"/>
          <a:ext cx="749300" cy="18415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CC33"/>
              </a:solidFill>
            </a:rPr>
            <a:t>≥</a:t>
          </a:r>
        </a:p>
      </xdr:txBody>
    </xdr:sp>
    <xdr:clientData/>
  </xdr:twoCellAnchor>
  <xdr:twoCellAnchor>
    <xdr:from>
      <xdr:col>4</xdr:col>
      <xdr:colOff>0</xdr:colOff>
      <xdr:row>176</xdr:row>
      <xdr:rowOff>92075</xdr:rowOff>
    </xdr:from>
    <xdr:to>
      <xdr:col>6</xdr:col>
      <xdr:colOff>0</xdr:colOff>
      <xdr:row>176</xdr:row>
      <xdr:rowOff>92075</xdr:rowOff>
    </xdr:to>
    <xdr:cxnSp macro="">
      <xdr:nvCxnSpPr>
        <xdr:cNvPr id="1407" name="OpenSolver419">
          <a:extLst>
            <a:ext uri="{FF2B5EF4-FFF2-40B4-BE49-F238E27FC236}">
              <a16:creationId xmlns:a16="http://schemas.microsoft.com/office/drawing/2014/main" id="{8C4F3D9E-B614-4B42-A7C2-3EA9233C167A}"/>
            </a:ext>
          </a:extLst>
        </xdr:cNvPr>
        <xdr:cNvCxnSpPr>
          <a:stCxn id="1405" idx="3"/>
          <a:endCxn id="1406" idx="1"/>
        </xdr:cNvCxnSpPr>
      </xdr:nvCxnSpPr>
      <xdr:spPr>
        <a:xfrm>
          <a:off x="2787650" y="32508825"/>
          <a:ext cx="1498600" cy="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558800</xdr:colOff>
      <xdr:row>175</xdr:row>
      <xdr:rowOff>149225</xdr:rowOff>
    </xdr:from>
    <xdr:to>
      <xdr:col>5</xdr:col>
      <xdr:colOff>190500</xdr:colOff>
      <xdr:row>177</xdr:row>
      <xdr:rowOff>34925</xdr:rowOff>
    </xdr:to>
    <xdr:sp macro="" textlink="">
      <xdr:nvSpPr>
        <xdr:cNvPr id="1408" name="OpenSolver420">
          <a:extLst>
            <a:ext uri="{FF2B5EF4-FFF2-40B4-BE49-F238E27FC236}">
              <a16:creationId xmlns:a16="http://schemas.microsoft.com/office/drawing/2014/main" id="{5FA25092-7801-4253-AD1C-F6E0A0513FC1}"/>
            </a:ext>
          </a:extLst>
        </xdr:cNvPr>
        <xdr:cNvSpPr/>
      </xdr:nvSpPr>
      <xdr:spPr>
        <a:xfrm>
          <a:off x="3346450" y="323818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12700</xdr:colOff>
      <xdr:row>273</xdr:row>
      <xdr:rowOff>12700</xdr:rowOff>
    </xdr:from>
    <xdr:to>
      <xdr:col>27</xdr:col>
      <xdr:colOff>0</xdr:colOff>
      <xdr:row>274</xdr:row>
      <xdr:rowOff>0</xdr:rowOff>
    </xdr:to>
    <xdr:sp macro="" textlink="">
      <xdr:nvSpPr>
        <xdr:cNvPr id="1409" name="OpenSolverD274:AA274">
          <a:extLst>
            <a:ext uri="{FF2B5EF4-FFF2-40B4-BE49-F238E27FC236}">
              <a16:creationId xmlns:a16="http://schemas.microsoft.com/office/drawing/2014/main" id="{F49D1F88-A0C1-4B05-9C03-C90DAE3FAA0E}"/>
            </a:ext>
          </a:extLst>
        </xdr:cNvPr>
        <xdr:cNvSpPr/>
      </xdr:nvSpPr>
      <xdr:spPr>
        <a:xfrm>
          <a:off x="2051050" y="50292000"/>
          <a:ext cx="17970500" cy="17145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FF6600"/>
              </a:solidFill>
            </a:rPr>
            <a:t>2300≤</a:t>
          </a:r>
        </a:p>
      </xdr:txBody>
    </xdr:sp>
    <xdr:clientData/>
  </xdr:twoCellAnchor>
  <xdr:twoCellAnchor>
    <xdr:from>
      <xdr:col>3</xdr:col>
      <xdr:colOff>0</xdr:colOff>
      <xdr:row>213</xdr:row>
      <xdr:rowOff>0</xdr:rowOff>
    </xdr:from>
    <xdr:to>
      <xdr:col>4</xdr:col>
      <xdr:colOff>0</xdr:colOff>
      <xdr:row>214</xdr:row>
      <xdr:rowOff>0</xdr:rowOff>
    </xdr:to>
    <xdr:sp macro="" textlink="">
      <xdr:nvSpPr>
        <xdr:cNvPr id="1410" name="OpenSolver422">
          <a:extLst>
            <a:ext uri="{FF2B5EF4-FFF2-40B4-BE49-F238E27FC236}">
              <a16:creationId xmlns:a16="http://schemas.microsoft.com/office/drawing/2014/main" id="{D62F6E4D-13FB-4CBA-ACE4-3C2224B1CD7F}"/>
            </a:ext>
          </a:extLst>
        </xdr:cNvPr>
        <xdr:cNvSpPr/>
      </xdr:nvSpPr>
      <xdr:spPr>
        <a:xfrm>
          <a:off x="2038350" y="39230300"/>
          <a:ext cx="749300" cy="18415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6</xdr:col>
      <xdr:colOff>0</xdr:colOff>
      <xdr:row>213</xdr:row>
      <xdr:rowOff>0</xdr:rowOff>
    </xdr:from>
    <xdr:to>
      <xdr:col>7</xdr:col>
      <xdr:colOff>0</xdr:colOff>
      <xdr:row>214</xdr:row>
      <xdr:rowOff>0</xdr:rowOff>
    </xdr:to>
    <xdr:sp macro="" textlink="">
      <xdr:nvSpPr>
        <xdr:cNvPr id="1411" name="OpenSolver423">
          <a:extLst>
            <a:ext uri="{FF2B5EF4-FFF2-40B4-BE49-F238E27FC236}">
              <a16:creationId xmlns:a16="http://schemas.microsoft.com/office/drawing/2014/main" id="{7DEE61A0-2A52-4CAA-824D-BB17BE180218}"/>
            </a:ext>
          </a:extLst>
        </xdr:cNvPr>
        <xdr:cNvSpPr/>
      </xdr:nvSpPr>
      <xdr:spPr>
        <a:xfrm>
          <a:off x="4286250" y="39230300"/>
          <a:ext cx="749300" cy="18415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CC0099"/>
              </a:solidFill>
            </a:rPr>
            <a:t>≥</a:t>
          </a:r>
        </a:p>
      </xdr:txBody>
    </xdr:sp>
    <xdr:clientData/>
  </xdr:twoCellAnchor>
  <xdr:twoCellAnchor>
    <xdr:from>
      <xdr:col>4</xdr:col>
      <xdr:colOff>0</xdr:colOff>
      <xdr:row>213</xdr:row>
      <xdr:rowOff>92075</xdr:rowOff>
    </xdr:from>
    <xdr:to>
      <xdr:col>6</xdr:col>
      <xdr:colOff>0</xdr:colOff>
      <xdr:row>213</xdr:row>
      <xdr:rowOff>92075</xdr:rowOff>
    </xdr:to>
    <xdr:cxnSp macro="">
      <xdr:nvCxnSpPr>
        <xdr:cNvPr id="1412" name="OpenSolver424">
          <a:extLst>
            <a:ext uri="{FF2B5EF4-FFF2-40B4-BE49-F238E27FC236}">
              <a16:creationId xmlns:a16="http://schemas.microsoft.com/office/drawing/2014/main" id="{43BBEBFE-921C-4DE7-941F-EF9C5CAA4402}"/>
            </a:ext>
          </a:extLst>
        </xdr:cNvPr>
        <xdr:cNvCxnSpPr>
          <a:stCxn id="1410" idx="3"/>
          <a:endCxn id="1411" idx="1"/>
        </xdr:cNvCxnSpPr>
      </xdr:nvCxnSpPr>
      <xdr:spPr>
        <a:xfrm>
          <a:off x="2787650" y="39322375"/>
          <a:ext cx="1498600" cy="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558800</xdr:colOff>
      <xdr:row>212</xdr:row>
      <xdr:rowOff>149225</xdr:rowOff>
    </xdr:from>
    <xdr:to>
      <xdr:col>5</xdr:col>
      <xdr:colOff>190500</xdr:colOff>
      <xdr:row>214</xdr:row>
      <xdr:rowOff>34925</xdr:rowOff>
    </xdr:to>
    <xdr:sp macro="" textlink="">
      <xdr:nvSpPr>
        <xdr:cNvPr id="1413" name="OpenSolver425">
          <a:extLst>
            <a:ext uri="{FF2B5EF4-FFF2-40B4-BE49-F238E27FC236}">
              <a16:creationId xmlns:a16="http://schemas.microsoft.com/office/drawing/2014/main" id="{F0206F9A-48E6-44B1-97C1-97CD1C079B23}"/>
            </a:ext>
          </a:extLst>
        </xdr:cNvPr>
        <xdr:cNvSpPr/>
      </xdr:nvSpPr>
      <xdr:spPr>
        <a:xfrm>
          <a:off x="3346450" y="3919537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12700</xdr:colOff>
      <xdr:row>46</xdr:row>
      <xdr:rowOff>12700</xdr:rowOff>
    </xdr:from>
    <xdr:to>
      <xdr:col>27</xdr:col>
      <xdr:colOff>0</xdr:colOff>
      <xdr:row>47</xdr:row>
      <xdr:rowOff>0</xdr:rowOff>
    </xdr:to>
    <xdr:sp macro="" textlink="">
      <xdr:nvSpPr>
        <xdr:cNvPr id="1414" name="OpenSolver426">
          <a:extLst>
            <a:ext uri="{FF2B5EF4-FFF2-40B4-BE49-F238E27FC236}">
              <a16:creationId xmlns:a16="http://schemas.microsoft.com/office/drawing/2014/main" id="{17DA6A92-E379-4562-A472-748CE5DFF348}"/>
            </a:ext>
          </a:extLst>
        </xdr:cNvPr>
        <xdr:cNvSpPr/>
      </xdr:nvSpPr>
      <xdr:spPr>
        <a:xfrm>
          <a:off x="2051050" y="8489950"/>
          <a:ext cx="17970500" cy="1714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3</xdr:col>
      <xdr:colOff>0</xdr:colOff>
      <xdr:row>47</xdr:row>
      <xdr:rowOff>0</xdr:rowOff>
    </xdr:from>
    <xdr:to>
      <xdr:col>27</xdr:col>
      <xdr:colOff>0</xdr:colOff>
      <xdr:row>48</xdr:row>
      <xdr:rowOff>0</xdr:rowOff>
    </xdr:to>
    <xdr:sp macro="" textlink="">
      <xdr:nvSpPr>
        <xdr:cNvPr id="1415" name="OpenSolver427">
          <a:extLst>
            <a:ext uri="{FF2B5EF4-FFF2-40B4-BE49-F238E27FC236}">
              <a16:creationId xmlns:a16="http://schemas.microsoft.com/office/drawing/2014/main" id="{676113D3-B99C-4EBD-A1AD-1D64A2581C64}"/>
            </a:ext>
          </a:extLst>
        </xdr:cNvPr>
        <xdr:cNvSpPr/>
      </xdr:nvSpPr>
      <xdr:spPr>
        <a:xfrm>
          <a:off x="2038350" y="8661400"/>
          <a:ext cx="17983200" cy="1841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00FF"/>
              </a:solidFill>
            </a:rPr>
            <a:t>≥</a:t>
          </a:r>
        </a:p>
      </xdr:txBody>
    </xdr:sp>
    <xdr:clientData/>
  </xdr:twoCellAnchor>
  <xdr:twoCellAnchor>
    <xdr:from>
      <xdr:col>15</xdr:col>
      <xdr:colOff>0</xdr:colOff>
      <xdr:row>47</xdr:row>
      <xdr:rowOff>0</xdr:rowOff>
    </xdr:from>
    <xdr:to>
      <xdr:col>15</xdr:col>
      <xdr:colOff>6350</xdr:colOff>
      <xdr:row>47</xdr:row>
      <xdr:rowOff>0</xdr:rowOff>
    </xdr:to>
    <xdr:cxnSp macro="">
      <xdr:nvCxnSpPr>
        <xdr:cNvPr id="1416" name="OpenSolver428">
          <a:extLst>
            <a:ext uri="{FF2B5EF4-FFF2-40B4-BE49-F238E27FC236}">
              <a16:creationId xmlns:a16="http://schemas.microsoft.com/office/drawing/2014/main" id="{5331BD67-413D-4E2E-957A-D47EB1CB23D3}"/>
            </a:ext>
          </a:extLst>
        </xdr:cNvPr>
        <xdr:cNvCxnSpPr>
          <a:stCxn id="1414" idx="2"/>
          <a:endCxn id="1415" idx="0"/>
        </xdr:cNvCxnSpPr>
      </xdr:nvCxnSpPr>
      <xdr:spPr>
        <a:xfrm flipH="1">
          <a:off x="11029950" y="8661400"/>
          <a:ext cx="635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561975</xdr:colOff>
      <xdr:row>46</xdr:row>
      <xdr:rowOff>57150</xdr:rowOff>
    </xdr:from>
    <xdr:to>
      <xdr:col>15</xdr:col>
      <xdr:colOff>193675</xdr:colOff>
      <xdr:row>47</xdr:row>
      <xdr:rowOff>127000</xdr:rowOff>
    </xdr:to>
    <xdr:sp macro="" textlink="">
      <xdr:nvSpPr>
        <xdr:cNvPr id="1417" name="OpenSolver429">
          <a:extLst>
            <a:ext uri="{FF2B5EF4-FFF2-40B4-BE49-F238E27FC236}">
              <a16:creationId xmlns:a16="http://schemas.microsoft.com/office/drawing/2014/main" id="{940FBD20-E32B-425E-839E-966E1903DD33}"/>
            </a:ext>
          </a:extLst>
        </xdr:cNvPr>
        <xdr:cNvSpPr/>
      </xdr:nvSpPr>
      <xdr:spPr>
        <a:xfrm>
          <a:off x="10842625" y="85344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0</xdr:colOff>
      <xdr:row>29</xdr:row>
      <xdr:rowOff>0</xdr:rowOff>
    </xdr:from>
    <xdr:to>
      <xdr:col>27</xdr:col>
      <xdr:colOff>0</xdr:colOff>
      <xdr:row>30</xdr:row>
      <xdr:rowOff>0</xdr:rowOff>
    </xdr:to>
    <xdr:sp macro="" textlink="">
      <xdr:nvSpPr>
        <xdr:cNvPr id="1418" name="OpenSolver430">
          <a:extLst>
            <a:ext uri="{FF2B5EF4-FFF2-40B4-BE49-F238E27FC236}">
              <a16:creationId xmlns:a16="http://schemas.microsoft.com/office/drawing/2014/main" id="{D8332159-C4C1-43CD-9BD8-897A69615368}"/>
            </a:ext>
          </a:extLst>
        </xdr:cNvPr>
        <xdr:cNvSpPr/>
      </xdr:nvSpPr>
      <xdr:spPr>
        <a:xfrm>
          <a:off x="2787650" y="5346700"/>
          <a:ext cx="17233900" cy="1841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4</xdr:col>
      <xdr:colOff>12700</xdr:colOff>
      <xdr:row>259</xdr:row>
      <xdr:rowOff>12700</xdr:rowOff>
    </xdr:from>
    <xdr:to>
      <xdr:col>27</xdr:col>
      <xdr:colOff>0</xdr:colOff>
      <xdr:row>260</xdr:row>
      <xdr:rowOff>0</xdr:rowOff>
    </xdr:to>
    <xdr:sp macro="" textlink="">
      <xdr:nvSpPr>
        <xdr:cNvPr id="1419" name="OpenSolver431">
          <a:extLst>
            <a:ext uri="{FF2B5EF4-FFF2-40B4-BE49-F238E27FC236}">
              <a16:creationId xmlns:a16="http://schemas.microsoft.com/office/drawing/2014/main" id="{A651B1A2-CF5C-44C5-B54E-A23CDDA9975C}"/>
            </a:ext>
          </a:extLst>
        </xdr:cNvPr>
        <xdr:cNvSpPr/>
      </xdr:nvSpPr>
      <xdr:spPr>
        <a:xfrm>
          <a:off x="2800350" y="47713900"/>
          <a:ext cx="17221200" cy="1714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15</xdr:col>
      <xdr:colOff>374650</xdr:colOff>
      <xdr:row>30</xdr:row>
      <xdr:rowOff>0</xdr:rowOff>
    </xdr:from>
    <xdr:to>
      <xdr:col>15</xdr:col>
      <xdr:colOff>381000</xdr:colOff>
      <xdr:row>259</xdr:row>
      <xdr:rowOff>12700</xdr:rowOff>
    </xdr:to>
    <xdr:cxnSp macro="">
      <xdr:nvCxnSpPr>
        <xdr:cNvPr id="1420" name="OpenSolver432">
          <a:extLst>
            <a:ext uri="{FF2B5EF4-FFF2-40B4-BE49-F238E27FC236}">
              <a16:creationId xmlns:a16="http://schemas.microsoft.com/office/drawing/2014/main" id="{6486A585-0843-4D7E-9D3D-5DA0C4F2BA72}"/>
            </a:ext>
          </a:extLst>
        </xdr:cNvPr>
        <xdr:cNvCxnSpPr>
          <a:stCxn id="1418" idx="2"/>
          <a:endCxn id="1419" idx="0"/>
        </xdr:cNvCxnSpPr>
      </xdr:nvCxnSpPr>
      <xdr:spPr>
        <a:xfrm>
          <a:off x="11404600" y="5530850"/>
          <a:ext cx="6350" cy="4218305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187325</xdr:colOff>
      <xdr:row>143</xdr:row>
      <xdr:rowOff>155575</xdr:rowOff>
    </xdr:from>
    <xdr:to>
      <xdr:col>15</xdr:col>
      <xdr:colOff>568325</xdr:colOff>
      <xdr:row>145</xdr:row>
      <xdr:rowOff>41275</xdr:rowOff>
    </xdr:to>
    <xdr:sp macro="" textlink="">
      <xdr:nvSpPr>
        <xdr:cNvPr id="1421" name="OpenSolver433">
          <a:extLst>
            <a:ext uri="{FF2B5EF4-FFF2-40B4-BE49-F238E27FC236}">
              <a16:creationId xmlns:a16="http://schemas.microsoft.com/office/drawing/2014/main" id="{33E95BEE-6455-4228-BCB5-CD7D8FB06863}"/>
            </a:ext>
          </a:extLst>
        </xdr:cNvPr>
        <xdr:cNvSpPr/>
      </xdr:nvSpPr>
      <xdr:spPr>
        <a:xfrm>
          <a:off x="11217275" y="2649537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12700</xdr:colOff>
      <xdr:row>225</xdr:row>
      <xdr:rowOff>12700</xdr:rowOff>
    </xdr:from>
    <xdr:to>
      <xdr:col>27</xdr:col>
      <xdr:colOff>0</xdr:colOff>
      <xdr:row>226</xdr:row>
      <xdr:rowOff>0</xdr:rowOff>
    </xdr:to>
    <xdr:sp macro="" textlink="">
      <xdr:nvSpPr>
        <xdr:cNvPr id="1422" name="OpenSolver434">
          <a:extLst>
            <a:ext uri="{FF2B5EF4-FFF2-40B4-BE49-F238E27FC236}">
              <a16:creationId xmlns:a16="http://schemas.microsoft.com/office/drawing/2014/main" id="{97FF19BA-1DBF-404F-A09F-55FE3A6C468B}"/>
            </a:ext>
          </a:extLst>
        </xdr:cNvPr>
        <xdr:cNvSpPr/>
      </xdr:nvSpPr>
      <xdr:spPr>
        <a:xfrm>
          <a:off x="2051050" y="41452800"/>
          <a:ext cx="17970500" cy="17145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3</xdr:col>
      <xdr:colOff>0</xdr:colOff>
      <xdr:row>226</xdr:row>
      <xdr:rowOff>0</xdr:rowOff>
    </xdr:from>
    <xdr:to>
      <xdr:col>27</xdr:col>
      <xdr:colOff>0</xdr:colOff>
      <xdr:row>227</xdr:row>
      <xdr:rowOff>0</xdr:rowOff>
    </xdr:to>
    <xdr:sp macro="" textlink="">
      <xdr:nvSpPr>
        <xdr:cNvPr id="1423" name="OpenSolver435">
          <a:extLst>
            <a:ext uri="{FF2B5EF4-FFF2-40B4-BE49-F238E27FC236}">
              <a16:creationId xmlns:a16="http://schemas.microsoft.com/office/drawing/2014/main" id="{B45825C8-D839-4C3C-8104-26AC39E6F009}"/>
            </a:ext>
          </a:extLst>
        </xdr:cNvPr>
        <xdr:cNvSpPr/>
      </xdr:nvSpPr>
      <xdr:spPr>
        <a:xfrm>
          <a:off x="2038350" y="41624250"/>
          <a:ext cx="17983200" cy="18415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9900CC"/>
              </a:solidFill>
            </a:rPr>
            <a:t>≥</a:t>
          </a:r>
        </a:p>
      </xdr:txBody>
    </xdr:sp>
    <xdr:clientData/>
  </xdr:twoCellAnchor>
  <xdr:twoCellAnchor>
    <xdr:from>
      <xdr:col>15</xdr:col>
      <xdr:colOff>0</xdr:colOff>
      <xdr:row>226</xdr:row>
      <xdr:rowOff>0</xdr:rowOff>
    </xdr:from>
    <xdr:to>
      <xdr:col>15</xdr:col>
      <xdr:colOff>6350</xdr:colOff>
      <xdr:row>226</xdr:row>
      <xdr:rowOff>0</xdr:rowOff>
    </xdr:to>
    <xdr:cxnSp macro="">
      <xdr:nvCxnSpPr>
        <xdr:cNvPr id="1424" name="OpenSolver436">
          <a:extLst>
            <a:ext uri="{FF2B5EF4-FFF2-40B4-BE49-F238E27FC236}">
              <a16:creationId xmlns:a16="http://schemas.microsoft.com/office/drawing/2014/main" id="{EE56CDB7-5A78-4673-A4D5-703E0FE47EB3}"/>
            </a:ext>
          </a:extLst>
        </xdr:cNvPr>
        <xdr:cNvCxnSpPr>
          <a:stCxn id="1422" idx="2"/>
          <a:endCxn id="1423" idx="0"/>
        </xdr:cNvCxnSpPr>
      </xdr:nvCxnSpPr>
      <xdr:spPr>
        <a:xfrm flipH="1">
          <a:off x="11029950" y="41624250"/>
          <a:ext cx="635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561975</xdr:colOff>
      <xdr:row>225</xdr:row>
      <xdr:rowOff>57147</xdr:rowOff>
    </xdr:from>
    <xdr:to>
      <xdr:col>15</xdr:col>
      <xdr:colOff>193675</xdr:colOff>
      <xdr:row>226</xdr:row>
      <xdr:rowOff>126997</xdr:rowOff>
    </xdr:to>
    <xdr:sp macro="" textlink="">
      <xdr:nvSpPr>
        <xdr:cNvPr id="1425" name="OpenSolver437">
          <a:extLst>
            <a:ext uri="{FF2B5EF4-FFF2-40B4-BE49-F238E27FC236}">
              <a16:creationId xmlns:a16="http://schemas.microsoft.com/office/drawing/2014/main" id="{222DF4DB-664D-487A-8623-BB72F628ABE1}"/>
            </a:ext>
          </a:extLst>
        </xdr:cNvPr>
        <xdr:cNvSpPr/>
      </xdr:nvSpPr>
      <xdr:spPr>
        <a:xfrm>
          <a:off x="10842625" y="41497247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230</xdr:row>
      <xdr:rowOff>0</xdr:rowOff>
    </xdr:from>
    <xdr:to>
      <xdr:col>4</xdr:col>
      <xdr:colOff>0</xdr:colOff>
      <xdr:row>231</xdr:row>
      <xdr:rowOff>0</xdr:rowOff>
    </xdr:to>
    <xdr:sp macro="" textlink="">
      <xdr:nvSpPr>
        <xdr:cNvPr id="1426" name="OpenSolver438">
          <a:extLst>
            <a:ext uri="{FF2B5EF4-FFF2-40B4-BE49-F238E27FC236}">
              <a16:creationId xmlns:a16="http://schemas.microsoft.com/office/drawing/2014/main" id="{ADDCF622-A438-4A29-897F-2EE9EDE5D365}"/>
            </a:ext>
          </a:extLst>
        </xdr:cNvPr>
        <xdr:cNvSpPr/>
      </xdr:nvSpPr>
      <xdr:spPr>
        <a:xfrm>
          <a:off x="2038350" y="42360850"/>
          <a:ext cx="749300" cy="18415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6</xdr:col>
      <xdr:colOff>0</xdr:colOff>
      <xdr:row>230</xdr:row>
      <xdr:rowOff>0</xdr:rowOff>
    </xdr:from>
    <xdr:to>
      <xdr:col>7</xdr:col>
      <xdr:colOff>0</xdr:colOff>
      <xdr:row>231</xdr:row>
      <xdr:rowOff>0</xdr:rowOff>
    </xdr:to>
    <xdr:sp macro="" textlink="">
      <xdr:nvSpPr>
        <xdr:cNvPr id="1427" name="OpenSolver439">
          <a:extLst>
            <a:ext uri="{FF2B5EF4-FFF2-40B4-BE49-F238E27FC236}">
              <a16:creationId xmlns:a16="http://schemas.microsoft.com/office/drawing/2014/main" id="{691DD14C-9620-4796-BDF6-76F8A97C014A}"/>
            </a:ext>
          </a:extLst>
        </xdr:cNvPr>
        <xdr:cNvSpPr/>
      </xdr:nvSpPr>
      <xdr:spPr>
        <a:xfrm>
          <a:off x="4286250" y="42360850"/>
          <a:ext cx="749300" cy="18415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800000"/>
              </a:solidFill>
            </a:rPr>
            <a:t>≥</a:t>
          </a:r>
        </a:p>
      </xdr:txBody>
    </xdr:sp>
    <xdr:clientData/>
  </xdr:twoCellAnchor>
  <xdr:twoCellAnchor>
    <xdr:from>
      <xdr:col>4</xdr:col>
      <xdr:colOff>0</xdr:colOff>
      <xdr:row>230</xdr:row>
      <xdr:rowOff>92075</xdr:rowOff>
    </xdr:from>
    <xdr:to>
      <xdr:col>6</xdr:col>
      <xdr:colOff>0</xdr:colOff>
      <xdr:row>230</xdr:row>
      <xdr:rowOff>92075</xdr:rowOff>
    </xdr:to>
    <xdr:cxnSp macro="">
      <xdr:nvCxnSpPr>
        <xdr:cNvPr id="1428" name="OpenSolver440">
          <a:extLst>
            <a:ext uri="{FF2B5EF4-FFF2-40B4-BE49-F238E27FC236}">
              <a16:creationId xmlns:a16="http://schemas.microsoft.com/office/drawing/2014/main" id="{3584B2CE-E634-4192-9ADA-59C9B73D50D3}"/>
            </a:ext>
          </a:extLst>
        </xdr:cNvPr>
        <xdr:cNvCxnSpPr>
          <a:stCxn id="1426" idx="3"/>
          <a:endCxn id="1427" idx="1"/>
        </xdr:cNvCxnSpPr>
      </xdr:nvCxnSpPr>
      <xdr:spPr>
        <a:xfrm>
          <a:off x="2787650" y="42452925"/>
          <a:ext cx="1498600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558800</xdr:colOff>
      <xdr:row>229</xdr:row>
      <xdr:rowOff>149225</xdr:rowOff>
    </xdr:from>
    <xdr:to>
      <xdr:col>5</xdr:col>
      <xdr:colOff>190500</xdr:colOff>
      <xdr:row>231</xdr:row>
      <xdr:rowOff>34925</xdr:rowOff>
    </xdr:to>
    <xdr:sp macro="" textlink="">
      <xdr:nvSpPr>
        <xdr:cNvPr id="1429" name="OpenSolver441">
          <a:extLst>
            <a:ext uri="{FF2B5EF4-FFF2-40B4-BE49-F238E27FC236}">
              <a16:creationId xmlns:a16="http://schemas.microsoft.com/office/drawing/2014/main" id="{5E4DE461-3976-4A0D-BE79-143F7FF99399}"/>
            </a:ext>
          </a:extLst>
        </xdr:cNvPr>
        <xdr:cNvSpPr/>
      </xdr:nvSpPr>
      <xdr:spPr>
        <a:xfrm>
          <a:off x="3346450" y="423259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222</xdr:row>
      <xdr:rowOff>0</xdr:rowOff>
    </xdr:from>
    <xdr:to>
      <xdr:col>4</xdr:col>
      <xdr:colOff>0</xdr:colOff>
      <xdr:row>223</xdr:row>
      <xdr:rowOff>0</xdr:rowOff>
    </xdr:to>
    <xdr:sp macro="" textlink="">
      <xdr:nvSpPr>
        <xdr:cNvPr id="1430" name="OpenSolver442">
          <a:extLst>
            <a:ext uri="{FF2B5EF4-FFF2-40B4-BE49-F238E27FC236}">
              <a16:creationId xmlns:a16="http://schemas.microsoft.com/office/drawing/2014/main" id="{C4880244-DEB9-4984-8CBC-F8E8A735A453}"/>
            </a:ext>
          </a:extLst>
        </xdr:cNvPr>
        <xdr:cNvSpPr/>
      </xdr:nvSpPr>
      <xdr:spPr>
        <a:xfrm>
          <a:off x="2038350" y="40887650"/>
          <a:ext cx="749300" cy="18415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6</xdr:col>
      <xdr:colOff>0</xdr:colOff>
      <xdr:row>222</xdr:row>
      <xdr:rowOff>0</xdr:rowOff>
    </xdr:from>
    <xdr:to>
      <xdr:col>7</xdr:col>
      <xdr:colOff>0</xdr:colOff>
      <xdr:row>223</xdr:row>
      <xdr:rowOff>0</xdr:rowOff>
    </xdr:to>
    <xdr:sp macro="" textlink="">
      <xdr:nvSpPr>
        <xdr:cNvPr id="1431" name="OpenSolver443">
          <a:extLst>
            <a:ext uri="{FF2B5EF4-FFF2-40B4-BE49-F238E27FC236}">
              <a16:creationId xmlns:a16="http://schemas.microsoft.com/office/drawing/2014/main" id="{7D7BC4E0-304F-4107-9B05-1C1A3E5C7DA7}"/>
            </a:ext>
          </a:extLst>
        </xdr:cNvPr>
        <xdr:cNvSpPr/>
      </xdr:nvSpPr>
      <xdr:spPr>
        <a:xfrm>
          <a:off x="4286250" y="40887650"/>
          <a:ext cx="749300" cy="18415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CC33"/>
              </a:solidFill>
            </a:rPr>
            <a:t>≥</a:t>
          </a:r>
        </a:p>
      </xdr:txBody>
    </xdr:sp>
    <xdr:clientData/>
  </xdr:twoCellAnchor>
  <xdr:twoCellAnchor>
    <xdr:from>
      <xdr:col>4</xdr:col>
      <xdr:colOff>0</xdr:colOff>
      <xdr:row>222</xdr:row>
      <xdr:rowOff>92075</xdr:rowOff>
    </xdr:from>
    <xdr:to>
      <xdr:col>6</xdr:col>
      <xdr:colOff>0</xdr:colOff>
      <xdr:row>222</xdr:row>
      <xdr:rowOff>92075</xdr:rowOff>
    </xdr:to>
    <xdr:cxnSp macro="">
      <xdr:nvCxnSpPr>
        <xdr:cNvPr id="1432" name="OpenSolver444">
          <a:extLst>
            <a:ext uri="{FF2B5EF4-FFF2-40B4-BE49-F238E27FC236}">
              <a16:creationId xmlns:a16="http://schemas.microsoft.com/office/drawing/2014/main" id="{ABE39634-B8BF-4A09-A34C-4ACDA4DFF90B}"/>
            </a:ext>
          </a:extLst>
        </xdr:cNvPr>
        <xdr:cNvCxnSpPr>
          <a:stCxn id="1430" idx="3"/>
          <a:endCxn id="1431" idx="1"/>
        </xdr:cNvCxnSpPr>
      </xdr:nvCxnSpPr>
      <xdr:spPr>
        <a:xfrm>
          <a:off x="2787650" y="40979725"/>
          <a:ext cx="1498600" cy="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558800</xdr:colOff>
      <xdr:row>221</xdr:row>
      <xdr:rowOff>149225</xdr:rowOff>
    </xdr:from>
    <xdr:to>
      <xdr:col>5</xdr:col>
      <xdr:colOff>190500</xdr:colOff>
      <xdr:row>223</xdr:row>
      <xdr:rowOff>34925</xdr:rowOff>
    </xdr:to>
    <xdr:sp macro="" textlink="">
      <xdr:nvSpPr>
        <xdr:cNvPr id="1433" name="OpenSolver445">
          <a:extLst>
            <a:ext uri="{FF2B5EF4-FFF2-40B4-BE49-F238E27FC236}">
              <a16:creationId xmlns:a16="http://schemas.microsoft.com/office/drawing/2014/main" id="{E0286F71-9903-4F82-BA9C-06D38BB8FCEF}"/>
            </a:ext>
          </a:extLst>
        </xdr:cNvPr>
        <xdr:cNvSpPr/>
      </xdr:nvSpPr>
      <xdr:spPr>
        <a:xfrm>
          <a:off x="3346450" y="408527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10</xdr:row>
      <xdr:rowOff>0</xdr:rowOff>
    </xdr:to>
    <xdr:sp macro="" textlink="">
      <xdr:nvSpPr>
        <xdr:cNvPr id="1434" name="OpenSolver446">
          <a:extLst>
            <a:ext uri="{FF2B5EF4-FFF2-40B4-BE49-F238E27FC236}">
              <a16:creationId xmlns:a16="http://schemas.microsoft.com/office/drawing/2014/main" id="{6829CABD-90AC-42C3-99D3-8B6CDCD93148}"/>
            </a:ext>
          </a:extLst>
        </xdr:cNvPr>
        <xdr:cNvSpPr/>
      </xdr:nvSpPr>
      <xdr:spPr>
        <a:xfrm>
          <a:off x="2038350" y="1657350"/>
          <a:ext cx="749300" cy="18415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8</xdr:col>
      <xdr:colOff>0</xdr:colOff>
      <xdr:row>9</xdr:row>
      <xdr:rowOff>0</xdr:rowOff>
    </xdr:from>
    <xdr:to>
      <xdr:col>9</xdr:col>
      <xdr:colOff>0</xdr:colOff>
      <xdr:row>10</xdr:row>
      <xdr:rowOff>0</xdr:rowOff>
    </xdr:to>
    <xdr:sp macro="" textlink="">
      <xdr:nvSpPr>
        <xdr:cNvPr id="1435" name="OpenSolver447">
          <a:extLst>
            <a:ext uri="{FF2B5EF4-FFF2-40B4-BE49-F238E27FC236}">
              <a16:creationId xmlns:a16="http://schemas.microsoft.com/office/drawing/2014/main" id="{FFB67321-6FCD-4456-B714-1BF5DFFFBE68}"/>
            </a:ext>
          </a:extLst>
        </xdr:cNvPr>
        <xdr:cNvSpPr/>
      </xdr:nvSpPr>
      <xdr:spPr>
        <a:xfrm>
          <a:off x="5784850" y="1657350"/>
          <a:ext cx="749300" cy="18415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FF6600"/>
              </a:solidFill>
            </a:rPr>
            <a:t>≥</a:t>
          </a:r>
        </a:p>
      </xdr:txBody>
    </xdr:sp>
    <xdr:clientData/>
  </xdr:twoCellAnchor>
  <xdr:twoCellAnchor>
    <xdr:from>
      <xdr:col>4</xdr:col>
      <xdr:colOff>0</xdr:colOff>
      <xdr:row>9</xdr:row>
      <xdr:rowOff>92075</xdr:rowOff>
    </xdr:from>
    <xdr:to>
      <xdr:col>8</xdr:col>
      <xdr:colOff>0</xdr:colOff>
      <xdr:row>9</xdr:row>
      <xdr:rowOff>92075</xdr:rowOff>
    </xdr:to>
    <xdr:cxnSp macro="">
      <xdr:nvCxnSpPr>
        <xdr:cNvPr id="1436" name="OpenSolver448">
          <a:extLst>
            <a:ext uri="{FF2B5EF4-FFF2-40B4-BE49-F238E27FC236}">
              <a16:creationId xmlns:a16="http://schemas.microsoft.com/office/drawing/2014/main" id="{BE3DFBB8-F239-4D54-A995-DFC1BB6C5D11}"/>
            </a:ext>
          </a:extLst>
        </xdr:cNvPr>
        <xdr:cNvCxnSpPr>
          <a:stCxn id="1434" idx="3"/>
          <a:endCxn id="1435" idx="1"/>
        </xdr:cNvCxnSpPr>
      </xdr:nvCxnSpPr>
      <xdr:spPr>
        <a:xfrm>
          <a:off x="2787650" y="1749425"/>
          <a:ext cx="2997200" cy="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558800</xdr:colOff>
      <xdr:row>8</xdr:row>
      <xdr:rowOff>149225</xdr:rowOff>
    </xdr:from>
    <xdr:to>
      <xdr:col>6</xdr:col>
      <xdr:colOff>190500</xdr:colOff>
      <xdr:row>10</xdr:row>
      <xdr:rowOff>34925</xdr:rowOff>
    </xdr:to>
    <xdr:sp macro="" textlink="">
      <xdr:nvSpPr>
        <xdr:cNvPr id="1437" name="OpenSolver449">
          <a:extLst>
            <a:ext uri="{FF2B5EF4-FFF2-40B4-BE49-F238E27FC236}">
              <a16:creationId xmlns:a16="http://schemas.microsoft.com/office/drawing/2014/main" id="{3F97FDF8-8104-4001-9804-99AA94555025}"/>
            </a:ext>
          </a:extLst>
        </xdr:cNvPr>
        <xdr:cNvSpPr/>
      </xdr:nvSpPr>
      <xdr:spPr>
        <a:xfrm>
          <a:off x="4095750" y="16224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1438" name="OpenSolver450">
          <a:extLst>
            <a:ext uri="{FF2B5EF4-FFF2-40B4-BE49-F238E27FC236}">
              <a16:creationId xmlns:a16="http://schemas.microsoft.com/office/drawing/2014/main" id="{713BEE52-2729-4C28-AC05-A39EB479B4AD}"/>
            </a:ext>
          </a:extLst>
        </xdr:cNvPr>
        <xdr:cNvSpPr/>
      </xdr:nvSpPr>
      <xdr:spPr>
        <a:xfrm>
          <a:off x="2038350" y="3689350"/>
          <a:ext cx="749300" cy="18415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8</xdr:col>
      <xdr:colOff>0</xdr:colOff>
      <xdr:row>20</xdr:row>
      <xdr:rowOff>0</xdr:rowOff>
    </xdr:from>
    <xdr:to>
      <xdr:col>9</xdr:col>
      <xdr:colOff>0</xdr:colOff>
      <xdr:row>21</xdr:row>
      <xdr:rowOff>0</xdr:rowOff>
    </xdr:to>
    <xdr:sp macro="" textlink="">
      <xdr:nvSpPr>
        <xdr:cNvPr id="1439" name="OpenSolver451">
          <a:extLst>
            <a:ext uri="{FF2B5EF4-FFF2-40B4-BE49-F238E27FC236}">
              <a16:creationId xmlns:a16="http://schemas.microsoft.com/office/drawing/2014/main" id="{4E6E43C1-E686-4997-93DA-8D633E84C708}"/>
            </a:ext>
          </a:extLst>
        </xdr:cNvPr>
        <xdr:cNvSpPr/>
      </xdr:nvSpPr>
      <xdr:spPr>
        <a:xfrm>
          <a:off x="5784850" y="3689350"/>
          <a:ext cx="749300" cy="18415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CC0099"/>
              </a:solidFill>
            </a:rPr>
            <a:t>≥</a:t>
          </a:r>
        </a:p>
      </xdr:txBody>
    </xdr:sp>
    <xdr:clientData/>
  </xdr:twoCellAnchor>
  <xdr:twoCellAnchor>
    <xdr:from>
      <xdr:col>4</xdr:col>
      <xdr:colOff>0</xdr:colOff>
      <xdr:row>20</xdr:row>
      <xdr:rowOff>92075</xdr:rowOff>
    </xdr:from>
    <xdr:to>
      <xdr:col>8</xdr:col>
      <xdr:colOff>0</xdr:colOff>
      <xdr:row>20</xdr:row>
      <xdr:rowOff>92075</xdr:rowOff>
    </xdr:to>
    <xdr:cxnSp macro="">
      <xdr:nvCxnSpPr>
        <xdr:cNvPr id="1440" name="OpenSolver452">
          <a:extLst>
            <a:ext uri="{FF2B5EF4-FFF2-40B4-BE49-F238E27FC236}">
              <a16:creationId xmlns:a16="http://schemas.microsoft.com/office/drawing/2014/main" id="{916A722F-EAAB-46C7-BD77-8EDECD7D83D9}"/>
            </a:ext>
          </a:extLst>
        </xdr:cNvPr>
        <xdr:cNvCxnSpPr>
          <a:stCxn id="1438" idx="3"/>
          <a:endCxn id="1439" idx="1"/>
        </xdr:cNvCxnSpPr>
      </xdr:nvCxnSpPr>
      <xdr:spPr>
        <a:xfrm>
          <a:off x="2787650" y="3781425"/>
          <a:ext cx="2997200" cy="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558800</xdr:colOff>
      <xdr:row>19</xdr:row>
      <xdr:rowOff>149225</xdr:rowOff>
    </xdr:from>
    <xdr:to>
      <xdr:col>6</xdr:col>
      <xdr:colOff>190500</xdr:colOff>
      <xdr:row>21</xdr:row>
      <xdr:rowOff>34925</xdr:rowOff>
    </xdr:to>
    <xdr:sp macro="" textlink="">
      <xdr:nvSpPr>
        <xdr:cNvPr id="1441" name="OpenSolver453">
          <a:extLst>
            <a:ext uri="{FF2B5EF4-FFF2-40B4-BE49-F238E27FC236}">
              <a16:creationId xmlns:a16="http://schemas.microsoft.com/office/drawing/2014/main" id="{4F707D84-FB50-40B9-999B-3C1F53AB65CB}"/>
            </a:ext>
          </a:extLst>
        </xdr:cNvPr>
        <xdr:cNvSpPr/>
      </xdr:nvSpPr>
      <xdr:spPr>
        <a:xfrm>
          <a:off x="4095750" y="36544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117</xdr:row>
      <xdr:rowOff>0</xdr:rowOff>
    </xdr:from>
    <xdr:to>
      <xdr:col>4</xdr:col>
      <xdr:colOff>0</xdr:colOff>
      <xdr:row>118</xdr:row>
      <xdr:rowOff>0</xdr:rowOff>
    </xdr:to>
    <xdr:sp macro="" textlink="">
      <xdr:nvSpPr>
        <xdr:cNvPr id="1442" name="OpenSolver454">
          <a:extLst>
            <a:ext uri="{FF2B5EF4-FFF2-40B4-BE49-F238E27FC236}">
              <a16:creationId xmlns:a16="http://schemas.microsoft.com/office/drawing/2014/main" id="{D075C389-A2F3-47A6-B622-1F18FB8E7527}"/>
            </a:ext>
          </a:extLst>
        </xdr:cNvPr>
        <xdr:cNvSpPr/>
      </xdr:nvSpPr>
      <xdr:spPr>
        <a:xfrm>
          <a:off x="2038350" y="21551900"/>
          <a:ext cx="749300" cy="1841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8</xdr:col>
      <xdr:colOff>0</xdr:colOff>
      <xdr:row>117</xdr:row>
      <xdr:rowOff>0</xdr:rowOff>
    </xdr:from>
    <xdr:to>
      <xdr:col>9</xdr:col>
      <xdr:colOff>0</xdr:colOff>
      <xdr:row>118</xdr:row>
      <xdr:rowOff>0</xdr:rowOff>
    </xdr:to>
    <xdr:sp macro="" textlink="">
      <xdr:nvSpPr>
        <xdr:cNvPr id="1443" name="OpenSolver455">
          <a:extLst>
            <a:ext uri="{FF2B5EF4-FFF2-40B4-BE49-F238E27FC236}">
              <a16:creationId xmlns:a16="http://schemas.microsoft.com/office/drawing/2014/main" id="{90369DDE-6F22-4966-B3A9-2EC1A7477D01}"/>
            </a:ext>
          </a:extLst>
        </xdr:cNvPr>
        <xdr:cNvSpPr/>
      </xdr:nvSpPr>
      <xdr:spPr>
        <a:xfrm>
          <a:off x="5784850" y="21551900"/>
          <a:ext cx="749300" cy="1841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00FF"/>
              </a:solidFill>
            </a:rPr>
            <a:t>≥</a:t>
          </a:r>
        </a:p>
      </xdr:txBody>
    </xdr:sp>
    <xdr:clientData/>
  </xdr:twoCellAnchor>
  <xdr:twoCellAnchor>
    <xdr:from>
      <xdr:col>4</xdr:col>
      <xdr:colOff>0</xdr:colOff>
      <xdr:row>117</xdr:row>
      <xdr:rowOff>92075</xdr:rowOff>
    </xdr:from>
    <xdr:to>
      <xdr:col>8</xdr:col>
      <xdr:colOff>0</xdr:colOff>
      <xdr:row>117</xdr:row>
      <xdr:rowOff>92075</xdr:rowOff>
    </xdr:to>
    <xdr:cxnSp macro="">
      <xdr:nvCxnSpPr>
        <xdr:cNvPr id="1444" name="OpenSolver456">
          <a:extLst>
            <a:ext uri="{FF2B5EF4-FFF2-40B4-BE49-F238E27FC236}">
              <a16:creationId xmlns:a16="http://schemas.microsoft.com/office/drawing/2014/main" id="{E437EFC3-3B13-41B3-B247-333BB2C29C32}"/>
            </a:ext>
          </a:extLst>
        </xdr:cNvPr>
        <xdr:cNvCxnSpPr>
          <a:stCxn id="1442" idx="3"/>
          <a:endCxn id="1443" idx="1"/>
        </xdr:cNvCxnSpPr>
      </xdr:nvCxnSpPr>
      <xdr:spPr>
        <a:xfrm>
          <a:off x="2787650" y="21643975"/>
          <a:ext cx="299720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558800</xdr:colOff>
      <xdr:row>116</xdr:row>
      <xdr:rowOff>149227</xdr:rowOff>
    </xdr:from>
    <xdr:to>
      <xdr:col>6</xdr:col>
      <xdr:colOff>190500</xdr:colOff>
      <xdr:row>118</xdr:row>
      <xdr:rowOff>34927</xdr:rowOff>
    </xdr:to>
    <xdr:sp macro="" textlink="">
      <xdr:nvSpPr>
        <xdr:cNvPr id="1445" name="OpenSolver457">
          <a:extLst>
            <a:ext uri="{FF2B5EF4-FFF2-40B4-BE49-F238E27FC236}">
              <a16:creationId xmlns:a16="http://schemas.microsoft.com/office/drawing/2014/main" id="{527F9027-D05B-4B14-8FE5-813F8A007D6D}"/>
            </a:ext>
          </a:extLst>
        </xdr:cNvPr>
        <xdr:cNvSpPr/>
      </xdr:nvSpPr>
      <xdr:spPr>
        <a:xfrm>
          <a:off x="4095750" y="21516977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31</xdr:row>
      <xdr:rowOff>0</xdr:rowOff>
    </xdr:from>
    <xdr:to>
      <xdr:col>4</xdr:col>
      <xdr:colOff>0</xdr:colOff>
      <xdr:row>32</xdr:row>
      <xdr:rowOff>0</xdr:rowOff>
    </xdr:to>
    <xdr:sp macro="" textlink="">
      <xdr:nvSpPr>
        <xdr:cNvPr id="1446" name="OpenSolver458">
          <a:extLst>
            <a:ext uri="{FF2B5EF4-FFF2-40B4-BE49-F238E27FC236}">
              <a16:creationId xmlns:a16="http://schemas.microsoft.com/office/drawing/2014/main" id="{730A3A0F-37CC-438F-A228-958A1E903B54}"/>
            </a:ext>
          </a:extLst>
        </xdr:cNvPr>
        <xdr:cNvSpPr/>
      </xdr:nvSpPr>
      <xdr:spPr>
        <a:xfrm>
          <a:off x="2038350" y="5715000"/>
          <a:ext cx="749300" cy="1841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8</xdr:col>
      <xdr:colOff>0</xdr:colOff>
      <xdr:row>31</xdr:row>
      <xdr:rowOff>0</xdr:rowOff>
    </xdr:from>
    <xdr:to>
      <xdr:col>9</xdr:col>
      <xdr:colOff>0</xdr:colOff>
      <xdr:row>32</xdr:row>
      <xdr:rowOff>0</xdr:rowOff>
    </xdr:to>
    <xdr:sp macro="" textlink="">
      <xdr:nvSpPr>
        <xdr:cNvPr id="1447" name="OpenSolver459">
          <a:extLst>
            <a:ext uri="{FF2B5EF4-FFF2-40B4-BE49-F238E27FC236}">
              <a16:creationId xmlns:a16="http://schemas.microsoft.com/office/drawing/2014/main" id="{9311B6A2-A9F8-43EC-8ED4-B9D33C128BEB}"/>
            </a:ext>
          </a:extLst>
        </xdr:cNvPr>
        <xdr:cNvSpPr/>
      </xdr:nvSpPr>
      <xdr:spPr>
        <a:xfrm>
          <a:off x="5784850" y="5715000"/>
          <a:ext cx="749300" cy="1841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8000"/>
              </a:solidFill>
            </a:rPr>
            <a:t>≥</a:t>
          </a:r>
        </a:p>
      </xdr:txBody>
    </xdr:sp>
    <xdr:clientData/>
  </xdr:twoCellAnchor>
  <xdr:twoCellAnchor>
    <xdr:from>
      <xdr:col>4</xdr:col>
      <xdr:colOff>0</xdr:colOff>
      <xdr:row>31</xdr:row>
      <xdr:rowOff>92075</xdr:rowOff>
    </xdr:from>
    <xdr:to>
      <xdr:col>8</xdr:col>
      <xdr:colOff>0</xdr:colOff>
      <xdr:row>31</xdr:row>
      <xdr:rowOff>92075</xdr:rowOff>
    </xdr:to>
    <xdr:cxnSp macro="">
      <xdr:nvCxnSpPr>
        <xdr:cNvPr id="1448" name="OpenSolver460">
          <a:extLst>
            <a:ext uri="{FF2B5EF4-FFF2-40B4-BE49-F238E27FC236}">
              <a16:creationId xmlns:a16="http://schemas.microsoft.com/office/drawing/2014/main" id="{615DE3DE-A3D3-486C-900C-21279217D664}"/>
            </a:ext>
          </a:extLst>
        </xdr:cNvPr>
        <xdr:cNvCxnSpPr>
          <a:stCxn id="1446" idx="3"/>
          <a:endCxn id="1447" idx="1"/>
        </xdr:cNvCxnSpPr>
      </xdr:nvCxnSpPr>
      <xdr:spPr>
        <a:xfrm>
          <a:off x="2787650" y="5807075"/>
          <a:ext cx="299720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558800</xdr:colOff>
      <xdr:row>30</xdr:row>
      <xdr:rowOff>149225</xdr:rowOff>
    </xdr:from>
    <xdr:to>
      <xdr:col>6</xdr:col>
      <xdr:colOff>190500</xdr:colOff>
      <xdr:row>32</xdr:row>
      <xdr:rowOff>34925</xdr:rowOff>
    </xdr:to>
    <xdr:sp macro="" textlink="">
      <xdr:nvSpPr>
        <xdr:cNvPr id="1449" name="OpenSolver461">
          <a:extLst>
            <a:ext uri="{FF2B5EF4-FFF2-40B4-BE49-F238E27FC236}">
              <a16:creationId xmlns:a16="http://schemas.microsoft.com/office/drawing/2014/main" id="{06D08062-C2BF-456E-93ED-3B312CA224F7}"/>
            </a:ext>
          </a:extLst>
        </xdr:cNvPr>
        <xdr:cNvSpPr/>
      </xdr:nvSpPr>
      <xdr:spPr>
        <a:xfrm>
          <a:off x="4095750" y="568007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41</xdr:row>
      <xdr:rowOff>0</xdr:rowOff>
    </xdr:from>
    <xdr:to>
      <xdr:col>4</xdr:col>
      <xdr:colOff>0</xdr:colOff>
      <xdr:row>42</xdr:row>
      <xdr:rowOff>0</xdr:rowOff>
    </xdr:to>
    <xdr:sp macro="" textlink="">
      <xdr:nvSpPr>
        <xdr:cNvPr id="1450" name="OpenSolver462">
          <a:extLst>
            <a:ext uri="{FF2B5EF4-FFF2-40B4-BE49-F238E27FC236}">
              <a16:creationId xmlns:a16="http://schemas.microsoft.com/office/drawing/2014/main" id="{089179E1-C000-4BD6-BED3-AB565EF98281}"/>
            </a:ext>
          </a:extLst>
        </xdr:cNvPr>
        <xdr:cNvSpPr/>
      </xdr:nvSpPr>
      <xdr:spPr>
        <a:xfrm>
          <a:off x="2038350" y="7556500"/>
          <a:ext cx="749300" cy="18415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8</xdr:col>
      <xdr:colOff>0</xdr:colOff>
      <xdr:row>41</xdr:row>
      <xdr:rowOff>0</xdr:rowOff>
    </xdr:from>
    <xdr:to>
      <xdr:col>9</xdr:col>
      <xdr:colOff>0</xdr:colOff>
      <xdr:row>42</xdr:row>
      <xdr:rowOff>0</xdr:rowOff>
    </xdr:to>
    <xdr:sp macro="" textlink="">
      <xdr:nvSpPr>
        <xdr:cNvPr id="1451" name="OpenSolver463">
          <a:extLst>
            <a:ext uri="{FF2B5EF4-FFF2-40B4-BE49-F238E27FC236}">
              <a16:creationId xmlns:a16="http://schemas.microsoft.com/office/drawing/2014/main" id="{5D92F4E7-9354-45D9-ACDD-B6A01DFDF2A5}"/>
            </a:ext>
          </a:extLst>
        </xdr:cNvPr>
        <xdr:cNvSpPr/>
      </xdr:nvSpPr>
      <xdr:spPr>
        <a:xfrm>
          <a:off x="5784850" y="7556500"/>
          <a:ext cx="749300" cy="18415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9900CC"/>
              </a:solidFill>
            </a:rPr>
            <a:t>≥</a:t>
          </a:r>
        </a:p>
      </xdr:txBody>
    </xdr:sp>
    <xdr:clientData/>
  </xdr:twoCellAnchor>
  <xdr:twoCellAnchor>
    <xdr:from>
      <xdr:col>4</xdr:col>
      <xdr:colOff>0</xdr:colOff>
      <xdr:row>41</xdr:row>
      <xdr:rowOff>92075</xdr:rowOff>
    </xdr:from>
    <xdr:to>
      <xdr:col>8</xdr:col>
      <xdr:colOff>0</xdr:colOff>
      <xdr:row>41</xdr:row>
      <xdr:rowOff>92075</xdr:rowOff>
    </xdr:to>
    <xdr:cxnSp macro="">
      <xdr:nvCxnSpPr>
        <xdr:cNvPr id="1452" name="OpenSolver464">
          <a:extLst>
            <a:ext uri="{FF2B5EF4-FFF2-40B4-BE49-F238E27FC236}">
              <a16:creationId xmlns:a16="http://schemas.microsoft.com/office/drawing/2014/main" id="{B3FD98F8-9220-470A-9507-1856B0B75E10}"/>
            </a:ext>
          </a:extLst>
        </xdr:cNvPr>
        <xdr:cNvCxnSpPr>
          <a:stCxn id="1450" idx="3"/>
          <a:endCxn id="1451" idx="1"/>
        </xdr:cNvCxnSpPr>
      </xdr:nvCxnSpPr>
      <xdr:spPr>
        <a:xfrm>
          <a:off x="2787650" y="7648575"/>
          <a:ext cx="299720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558800</xdr:colOff>
      <xdr:row>40</xdr:row>
      <xdr:rowOff>149225</xdr:rowOff>
    </xdr:from>
    <xdr:to>
      <xdr:col>6</xdr:col>
      <xdr:colOff>190500</xdr:colOff>
      <xdr:row>42</xdr:row>
      <xdr:rowOff>34925</xdr:rowOff>
    </xdr:to>
    <xdr:sp macro="" textlink="">
      <xdr:nvSpPr>
        <xdr:cNvPr id="1453" name="OpenSolver465">
          <a:extLst>
            <a:ext uri="{FF2B5EF4-FFF2-40B4-BE49-F238E27FC236}">
              <a16:creationId xmlns:a16="http://schemas.microsoft.com/office/drawing/2014/main" id="{281418A6-A9E3-4D0F-8002-57DFB5E5A65A}"/>
            </a:ext>
          </a:extLst>
        </xdr:cNvPr>
        <xdr:cNvSpPr/>
      </xdr:nvSpPr>
      <xdr:spPr>
        <a:xfrm>
          <a:off x="4095750" y="752157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12700</xdr:colOff>
      <xdr:row>101</xdr:row>
      <xdr:rowOff>12700</xdr:rowOff>
    </xdr:from>
    <xdr:to>
      <xdr:col>27</xdr:col>
      <xdr:colOff>0</xdr:colOff>
      <xdr:row>102</xdr:row>
      <xdr:rowOff>0</xdr:rowOff>
    </xdr:to>
    <xdr:sp macro="" textlink="">
      <xdr:nvSpPr>
        <xdr:cNvPr id="1454" name="OpenSolver466">
          <a:extLst>
            <a:ext uri="{FF2B5EF4-FFF2-40B4-BE49-F238E27FC236}">
              <a16:creationId xmlns:a16="http://schemas.microsoft.com/office/drawing/2014/main" id="{C431EF79-7282-4252-B99D-6B5D98153C2E}"/>
            </a:ext>
          </a:extLst>
        </xdr:cNvPr>
        <xdr:cNvSpPr/>
      </xdr:nvSpPr>
      <xdr:spPr>
        <a:xfrm>
          <a:off x="2051050" y="18618200"/>
          <a:ext cx="17970500" cy="17145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3</xdr:col>
      <xdr:colOff>0</xdr:colOff>
      <xdr:row>102</xdr:row>
      <xdr:rowOff>0</xdr:rowOff>
    </xdr:from>
    <xdr:to>
      <xdr:col>27</xdr:col>
      <xdr:colOff>0</xdr:colOff>
      <xdr:row>103</xdr:row>
      <xdr:rowOff>0</xdr:rowOff>
    </xdr:to>
    <xdr:sp macro="" textlink="">
      <xdr:nvSpPr>
        <xdr:cNvPr id="1455" name="OpenSolver467">
          <a:extLst>
            <a:ext uri="{FF2B5EF4-FFF2-40B4-BE49-F238E27FC236}">
              <a16:creationId xmlns:a16="http://schemas.microsoft.com/office/drawing/2014/main" id="{384F5979-1FFE-4551-BF0F-BE4D7A71E263}"/>
            </a:ext>
          </a:extLst>
        </xdr:cNvPr>
        <xdr:cNvSpPr/>
      </xdr:nvSpPr>
      <xdr:spPr>
        <a:xfrm>
          <a:off x="2038350" y="18789650"/>
          <a:ext cx="17983200" cy="18415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800000"/>
              </a:solidFill>
            </a:rPr>
            <a:t>≥</a:t>
          </a:r>
        </a:p>
      </xdr:txBody>
    </xdr:sp>
    <xdr:clientData/>
  </xdr:twoCellAnchor>
  <xdr:twoCellAnchor>
    <xdr:from>
      <xdr:col>15</xdr:col>
      <xdr:colOff>0</xdr:colOff>
      <xdr:row>102</xdr:row>
      <xdr:rowOff>0</xdr:rowOff>
    </xdr:from>
    <xdr:to>
      <xdr:col>15</xdr:col>
      <xdr:colOff>6350</xdr:colOff>
      <xdr:row>102</xdr:row>
      <xdr:rowOff>0</xdr:rowOff>
    </xdr:to>
    <xdr:cxnSp macro="">
      <xdr:nvCxnSpPr>
        <xdr:cNvPr id="1456" name="OpenSolver468">
          <a:extLst>
            <a:ext uri="{FF2B5EF4-FFF2-40B4-BE49-F238E27FC236}">
              <a16:creationId xmlns:a16="http://schemas.microsoft.com/office/drawing/2014/main" id="{18A779C2-7C5E-4D51-AFC9-89DF85E9A8E4}"/>
            </a:ext>
          </a:extLst>
        </xdr:cNvPr>
        <xdr:cNvCxnSpPr>
          <a:stCxn id="1454" idx="2"/>
          <a:endCxn id="1455" idx="0"/>
        </xdr:cNvCxnSpPr>
      </xdr:nvCxnSpPr>
      <xdr:spPr>
        <a:xfrm flipH="1">
          <a:off x="11029950" y="18789650"/>
          <a:ext cx="6350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561975</xdr:colOff>
      <xdr:row>101</xdr:row>
      <xdr:rowOff>57150</xdr:rowOff>
    </xdr:from>
    <xdr:to>
      <xdr:col>15</xdr:col>
      <xdr:colOff>193675</xdr:colOff>
      <xdr:row>102</xdr:row>
      <xdr:rowOff>127000</xdr:rowOff>
    </xdr:to>
    <xdr:sp macro="" textlink="">
      <xdr:nvSpPr>
        <xdr:cNvPr id="1457" name="OpenSolver469">
          <a:extLst>
            <a:ext uri="{FF2B5EF4-FFF2-40B4-BE49-F238E27FC236}">
              <a16:creationId xmlns:a16="http://schemas.microsoft.com/office/drawing/2014/main" id="{C909F701-21F5-4B5F-8D12-BBAC7F13EA86}"/>
            </a:ext>
          </a:extLst>
        </xdr:cNvPr>
        <xdr:cNvSpPr/>
      </xdr:nvSpPr>
      <xdr:spPr>
        <a:xfrm>
          <a:off x="10842625" y="186626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76</xdr:row>
      <xdr:rowOff>0</xdr:rowOff>
    </xdr:from>
    <xdr:to>
      <xdr:col>4</xdr:col>
      <xdr:colOff>0</xdr:colOff>
      <xdr:row>77</xdr:row>
      <xdr:rowOff>0</xdr:rowOff>
    </xdr:to>
    <xdr:sp macro="" textlink="">
      <xdr:nvSpPr>
        <xdr:cNvPr id="1458" name="OpenSolver470">
          <a:extLst>
            <a:ext uri="{FF2B5EF4-FFF2-40B4-BE49-F238E27FC236}">
              <a16:creationId xmlns:a16="http://schemas.microsoft.com/office/drawing/2014/main" id="{035E41F5-232D-4117-8EEE-EBED3C753A38}"/>
            </a:ext>
          </a:extLst>
        </xdr:cNvPr>
        <xdr:cNvSpPr/>
      </xdr:nvSpPr>
      <xdr:spPr>
        <a:xfrm>
          <a:off x="2038350" y="14001750"/>
          <a:ext cx="749300" cy="18415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8</xdr:col>
      <xdr:colOff>0</xdr:colOff>
      <xdr:row>76</xdr:row>
      <xdr:rowOff>0</xdr:rowOff>
    </xdr:from>
    <xdr:to>
      <xdr:col>9</xdr:col>
      <xdr:colOff>0</xdr:colOff>
      <xdr:row>77</xdr:row>
      <xdr:rowOff>0</xdr:rowOff>
    </xdr:to>
    <xdr:sp macro="" textlink="">
      <xdr:nvSpPr>
        <xdr:cNvPr id="1459" name="OpenSolver471">
          <a:extLst>
            <a:ext uri="{FF2B5EF4-FFF2-40B4-BE49-F238E27FC236}">
              <a16:creationId xmlns:a16="http://schemas.microsoft.com/office/drawing/2014/main" id="{2A6FB55D-2D36-4062-93C6-0A5B6AFCAEB9}"/>
            </a:ext>
          </a:extLst>
        </xdr:cNvPr>
        <xdr:cNvSpPr/>
      </xdr:nvSpPr>
      <xdr:spPr>
        <a:xfrm>
          <a:off x="5784850" y="14001750"/>
          <a:ext cx="749300" cy="18415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CC33"/>
              </a:solidFill>
            </a:rPr>
            <a:t>≥</a:t>
          </a:r>
        </a:p>
      </xdr:txBody>
    </xdr:sp>
    <xdr:clientData/>
  </xdr:twoCellAnchor>
  <xdr:twoCellAnchor>
    <xdr:from>
      <xdr:col>4</xdr:col>
      <xdr:colOff>0</xdr:colOff>
      <xdr:row>76</xdr:row>
      <xdr:rowOff>92075</xdr:rowOff>
    </xdr:from>
    <xdr:to>
      <xdr:col>8</xdr:col>
      <xdr:colOff>0</xdr:colOff>
      <xdr:row>76</xdr:row>
      <xdr:rowOff>92075</xdr:rowOff>
    </xdr:to>
    <xdr:cxnSp macro="">
      <xdr:nvCxnSpPr>
        <xdr:cNvPr id="1460" name="OpenSolver472">
          <a:extLst>
            <a:ext uri="{FF2B5EF4-FFF2-40B4-BE49-F238E27FC236}">
              <a16:creationId xmlns:a16="http://schemas.microsoft.com/office/drawing/2014/main" id="{BE833D41-B093-4905-BA8B-F0C56AB58A4D}"/>
            </a:ext>
          </a:extLst>
        </xdr:cNvPr>
        <xdr:cNvCxnSpPr>
          <a:stCxn id="1458" idx="3"/>
          <a:endCxn id="1459" idx="1"/>
        </xdr:cNvCxnSpPr>
      </xdr:nvCxnSpPr>
      <xdr:spPr>
        <a:xfrm>
          <a:off x="2787650" y="14093825"/>
          <a:ext cx="2997200" cy="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558800</xdr:colOff>
      <xdr:row>75</xdr:row>
      <xdr:rowOff>149225</xdr:rowOff>
    </xdr:from>
    <xdr:to>
      <xdr:col>6</xdr:col>
      <xdr:colOff>190500</xdr:colOff>
      <xdr:row>77</xdr:row>
      <xdr:rowOff>34925</xdr:rowOff>
    </xdr:to>
    <xdr:sp macro="" textlink="">
      <xdr:nvSpPr>
        <xdr:cNvPr id="1461" name="OpenSolver473">
          <a:extLst>
            <a:ext uri="{FF2B5EF4-FFF2-40B4-BE49-F238E27FC236}">
              <a16:creationId xmlns:a16="http://schemas.microsoft.com/office/drawing/2014/main" id="{433CF285-8F82-435B-AAC2-BBB0D9416B93}"/>
            </a:ext>
          </a:extLst>
        </xdr:cNvPr>
        <xdr:cNvSpPr/>
      </xdr:nvSpPr>
      <xdr:spPr>
        <a:xfrm>
          <a:off x="4095750" y="139668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275</xdr:row>
      <xdr:rowOff>0</xdr:rowOff>
    </xdr:from>
    <xdr:to>
      <xdr:col>27</xdr:col>
      <xdr:colOff>0</xdr:colOff>
      <xdr:row>276</xdr:row>
      <xdr:rowOff>0</xdr:rowOff>
    </xdr:to>
    <xdr:sp macro="" textlink="">
      <xdr:nvSpPr>
        <xdr:cNvPr id="1462" name="OpenSolver474">
          <a:extLst>
            <a:ext uri="{FF2B5EF4-FFF2-40B4-BE49-F238E27FC236}">
              <a16:creationId xmlns:a16="http://schemas.microsoft.com/office/drawing/2014/main" id="{07320486-D913-4FB5-BEC0-484EFC67F352}"/>
            </a:ext>
          </a:extLst>
        </xdr:cNvPr>
        <xdr:cNvSpPr/>
      </xdr:nvSpPr>
      <xdr:spPr>
        <a:xfrm>
          <a:off x="2038350" y="50647600"/>
          <a:ext cx="17983200" cy="18415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</xdr:col>
      <xdr:colOff>1651000</xdr:colOff>
      <xdr:row>274</xdr:row>
      <xdr:rowOff>107950</xdr:rowOff>
    </xdr:from>
    <xdr:to>
      <xdr:col>3</xdr:col>
      <xdr:colOff>314892</xdr:colOff>
      <xdr:row>275</xdr:row>
      <xdr:rowOff>50800</xdr:rowOff>
    </xdr:to>
    <xdr:sp macro="" textlink="">
      <xdr:nvSpPr>
        <xdr:cNvPr id="1463" name="OpenSolver475">
          <a:extLst>
            <a:ext uri="{FF2B5EF4-FFF2-40B4-BE49-F238E27FC236}">
              <a16:creationId xmlns:a16="http://schemas.microsoft.com/office/drawing/2014/main" id="{9DABE542-2D99-4713-AC13-AEE760346784}"/>
            </a:ext>
          </a:extLst>
        </xdr:cNvPr>
        <xdr:cNvSpPr/>
      </xdr:nvSpPr>
      <xdr:spPr>
        <a:xfrm>
          <a:off x="2032000" y="50571400"/>
          <a:ext cx="321242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GB" sz="900">
              <a:solidFill>
                <a:srgbClr val="000000"/>
              </a:solidFill>
            </a:rPr>
            <a:t>binary</a:t>
          </a:r>
        </a:p>
      </xdr:txBody>
    </xdr:sp>
    <xdr:clientData/>
  </xdr:twoCellAnchor>
  <xdr:twoCellAnchor>
    <xdr:from>
      <xdr:col>3</xdr:col>
      <xdr:colOff>0</xdr:colOff>
      <xdr:row>297</xdr:row>
      <xdr:rowOff>0</xdr:rowOff>
    </xdr:from>
    <xdr:to>
      <xdr:col>27</xdr:col>
      <xdr:colOff>0</xdr:colOff>
      <xdr:row>298</xdr:row>
      <xdr:rowOff>0</xdr:rowOff>
    </xdr:to>
    <xdr:sp macro="" textlink="">
      <xdr:nvSpPr>
        <xdr:cNvPr id="1464" name="OpenSolver476">
          <a:extLst>
            <a:ext uri="{FF2B5EF4-FFF2-40B4-BE49-F238E27FC236}">
              <a16:creationId xmlns:a16="http://schemas.microsoft.com/office/drawing/2014/main" id="{2FD0E260-0FB4-4AC8-93FB-A5FC98E71209}"/>
            </a:ext>
          </a:extLst>
        </xdr:cNvPr>
        <xdr:cNvSpPr/>
      </xdr:nvSpPr>
      <xdr:spPr>
        <a:xfrm>
          <a:off x="2038350" y="54698900"/>
          <a:ext cx="17983200" cy="18415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</xdr:col>
      <xdr:colOff>1651000</xdr:colOff>
      <xdr:row>296</xdr:row>
      <xdr:rowOff>107950</xdr:rowOff>
    </xdr:from>
    <xdr:to>
      <xdr:col>3</xdr:col>
      <xdr:colOff>314892</xdr:colOff>
      <xdr:row>297</xdr:row>
      <xdr:rowOff>50800</xdr:rowOff>
    </xdr:to>
    <xdr:sp macro="" textlink="">
      <xdr:nvSpPr>
        <xdr:cNvPr id="1465" name="OpenSolver477">
          <a:extLst>
            <a:ext uri="{FF2B5EF4-FFF2-40B4-BE49-F238E27FC236}">
              <a16:creationId xmlns:a16="http://schemas.microsoft.com/office/drawing/2014/main" id="{DFBBA6F7-CE54-4700-A081-5B49FBB8DE19}"/>
            </a:ext>
          </a:extLst>
        </xdr:cNvPr>
        <xdr:cNvSpPr/>
      </xdr:nvSpPr>
      <xdr:spPr>
        <a:xfrm>
          <a:off x="2032000" y="54622700"/>
          <a:ext cx="321242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GB" sz="900">
              <a:solidFill>
                <a:srgbClr val="000000"/>
              </a:solidFill>
            </a:rPr>
            <a:t>binary</a:t>
          </a:r>
        </a:p>
      </xdr:txBody>
    </xdr:sp>
    <xdr:clientData/>
  </xdr:twoCellAnchor>
  <xdr:twoCellAnchor>
    <xdr:from>
      <xdr:col>3</xdr:col>
      <xdr:colOff>25400</xdr:colOff>
      <xdr:row>269</xdr:row>
      <xdr:rowOff>25400</xdr:rowOff>
    </xdr:from>
    <xdr:to>
      <xdr:col>27</xdr:col>
      <xdr:colOff>0</xdr:colOff>
      <xdr:row>270</xdr:row>
      <xdr:rowOff>0</xdr:rowOff>
    </xdr:to>
    <xdr:sp macro="" textlink="">
      <xdr:nvSpPr>
        <xdr:cNvPr id="1466" name="OpenSolver478">
          <a:extLst>
            <a:ext uri="{FF2B5EF4-FFF2-40B4-BE49-F238E27FC236}">
              <a16:creationId xmlns:a16="http://schemas.microsoft.com/office/drawing/2014/main" id="{66865FDC-9D84-4FD7-8E17-22A79CE182DD}"/>
            </a:ext>
          </a:extLst>
        </xdr:cNvPr>
        <xdr:cNvSpPr/>
      </xdr:nvSpPr>
      <xdr:spPr>
        <a:xfrm>
          <a:off x="2063750" y="49568100"/>
          <a:ext cx="17957800" cy="15875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3</xdr:col>
      <xdr:colOff>19050</xdr:colOff>
      <xdr:row>268</xdr:row>
      <xdr:rowOff>133350</xdr:rowOff>
    </xdr:from>
    <xdr:to>
      <xdr:col>3</xdr:col>
      <xdr:colOff>379983</xdr:colOff>
      <xdr:row>269</xdr:row>
      <xdr:rowOff>76200</xdr:rowOff>
    </xdr:to>
    <xdr:sp macro="" textlink="">
      <xdr:nvSpPr>
        <xdr:cNvPr id="1467" name="OpenSolver479">
          <a:extLst>
            <a:ext uri="{FF2B5EF4-FFF2-40B4-BE49-F238E27FC236}">
              <a16:creationId xmlns:a16="http://schemas.microsoft.com/office/drawing/2014/main" id="{1C8A7A39-88A6-4F04-AA5C-4A3E854D4822}"/>
            </a:ext>
          </a:extLst>
        </xdr:cNvPr>
        <xdr:cNvSpPr/>
      </xdr:nvSpPr>
      <xdr:spPr>
        <a:xfrm>
          <a:off x="2057400" y="49491900"/>
          <a:ext cx="360933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GB" sz="900">
              <a:solidFill>
                <a:srgbClr val="000000"/>
              </a:solidFill>
            </a:rPr>
            <a:t>integer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1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4.5" x14ac:dyDescent="0.35"/>
  <cols>
    <col min="1" max="1" width="21" bestFit="1" customWidth="1"/>
    <col min="2" max="25" width="8.26953125" customWidth="1"/>
    <col min="26" max="26" width="10.26953125" bestFit="1" customWidth="1"/>
    <col min="27" max="49" width="9.1796875" bestFit="1" customWidth="1"/>
  </cols>
  <sheetData>
    <row r="1" spans="1:49" ht="15" thickBot="1" x14ac:dyDescent="0.4">
      <c r="A1" s="1" t="s">
        <v>0</v>
      </c>
      <c r="B1" s="2">
        <v>0</v>
      </c>
      <c r="C1" s="2">
        <v>4.1666666666666664E-2</v>
      </c>
      <c r="D1" s="2">
        <v>8.3333333333333301E-2</v>
      </c>
      <c r="E1" s="2">
        <v>0.125</v>
      </c>
      <c r="F1" s="2">
        <v>0.16666666666666699</v>
      </c>
      <c r="G1" s="2">
        <v>0.20833333333333301</v>
      </c>
      <c r="H1" s="2">
        <v>0.25</v>
      </c>
      <c r="I1" s="2">
        <v>0.29166666666666702</v>
      </c>
      <c r="J1" s="2">
        <v>0.33333333333333298</v>
      </c>
      <c r="K1" s="2">
        <v>0.375</v>
      </c>
      <c r="L1" s="2">
        <v>0.41666666666666702</v>
      </c>
      <c r="M1" s="2">
        <v>0.45833333333333298</v>
      </c>
      <c r="N1" s="2">
        <v>0.5</v>
      </c>
      <c r="O1" s="2">
        <v>0.54166666666666696</v>
      </c>
      <c r="P1" s="2">
        <v>0.58333333333333304</v>
      </c>
      <c r="Q1" s="2">
        <v>0.625</v>
      </c>
      <c r="R1" s="2">
        <v>0.66666666666666696</v>
      </c>
      <c r="S1" s="2">
        <v>0.70833333333333304</v>
      </c>
      <c r="T1" s="2">
        <v>0.75</v>
      </c>
      <c r="U1" s="2">
        <v>0.79166666666666696</v>
      </c>
      <c r="V1" s="2">
        <v>0.83333333333333304</v>
      </c>
      <c r="W1" s="2">
        <v>0.875</v>
      </c>
      <c r="X1" s="2">
        <v>0.91666666666666696</v>
      </c>
      <c r="Y1" s="2">
        <v>0.95833333333333304</v>
      </c>
    </row>
    <row r="2" spans="1:49" x14ac:dyDescent="0.35">
      <c r="A2" s="42" t="s">
        <v>111</v>
      </c>
      <c r="B2" s="3">
        <v>52551.5625</v>
      </c>
      <c r="C2" s="3">
        <v>52551.5625</v>
      </c>
      <c r="D2" s="3">
        <v>52551.5625</v>
      </c>
      <c r="E2" s="3">
        <v>52551.5625</v>
      </c>
      <c r="F2" s="3">
        <v>52551.5625</v>
      </c>
      <c r="G2" s="3">
        <v>52551.5625</v>
      </c>
      <c r="H2" s="3">
        <v>52551.5625</v>
      </c>
      <c r="I2" s="3">
        <v>52551.5625</v>
      </c>
      <c r="J2" s="3">
        <v>52551.5625</v>
      </c>
      <c r="K2" s="3">
        <v>52551.5625</v>
      </c>
      <c r="L2" s="3">
        <v>52551.5625</v>
      </c>
      <c r="M2" s="3">
        <v>52551.5625</v>
      </c>
      <c r="N2" s="3">
        <v>52551.5625</v>
      </c>
      <c r="O2" s="3">
        <v>52551.5625</v>
      </c>
      <c r="P2" s="3">
        <v>52551.5625</v>
      </c>
      <c r="Q2" s="3">
        <v>52551.5625</v>
      </c>
      <c r="R2" s="3">
        <v>52551.5625</v>
      </c>
      <c r="S2" s="3">
        <v>52551.5625</v>
      </c>
      <c r="T2" s="3">
        <v>52551.5625</v>
      </c>
      <c r="U2" s="3">
        <v>52551.5625</v>
      </c>
      <c r="V2" s="3">
        <v>52551.5625</v>
      </c>
      <c r="W2" s="3">
        <v>52551.5625</v>
      </c>
      <c r="X2" s="3">
        <v>52551.5625</v>
      </c>
      <c r="Y2" s="5">
        <v>52551.5625</v>
      </c>
    </row>
    <row r="3" spans="1:49" x14ac:dyDescent="0.35">
      <c r="A3" s="6" t="s">
        <v>118</v>
      </c>
      <c r="B3" s="3">
        <v>44881.875</v>
      </c>
      <c r="C3" s="3">
        <v>44881.875</v>
      </c>
      <c r="D3" s="3">
        <v>44881.875</v>
      </c>
      <c r="E3" s="3">
        <v>44881.875</v>
      </c>
      <c r="F3" s="3">
        <v>44881.875</v>
      </c>
      <c r="G3" s="3">
        <v>44881.875</v>
      </c>
      <c r="H3" s="3">
        <v>44881.875</v>
      </c>
      <c r="I3" s="3">
        <v>44881.875</v>
      </c>
      <c r="J3" s="3">
        <v>44881.875</v>
      </c>
      <c r="K3" s="3">
        <v>44881.875</v>
      </c>
      <c r="L3" s="3">
        <v>44881.875</v>
      </c>
      <c r="M3" s="3">
        <v>44881.875</v>
      </c>
      <c r="N3" s="3">
        <v>44881.875</v>
      </c>
      <c r="O3" s="3">
        <v>44881.875</v>
      </c>
      <c r="P3" s="3">
        <v>44881.875</v>
      </c>
      <c r="Q3" s="3">
        <v>44881.875</v>
      </c>
      <c r="R3" s="3">
        <v>44881.875</v>
      </c>
      <c r="S3" s="3">
        <v>44881.875</v>
      </c>
      <c r="T3" s="3">
        <v>44881.875</v>
      </c>
      <c r="U3" s="3">
        <v>44881.875</v>
      </c>
      <c r="V3" s="3">
        <v>44881.875</v>
      </c>
      <c r="W3" s="3">
        <v>44881.875</v>
      </c>
      <c r="X3" s="3">
        <v>44881.875</v>
      </c>
      <c r="Y3" s="5">
        <v>44881.875</v>
      </c>
    </row>
    <row r="4" spans="1:49" s="48" customFormat="1" x14ac:dyDescent="0.35">
      <c r="A4" s="6" t="s">
        <v>125</v>
      </c>
      <c r="B4" s="3">
        <v>34445</v>
      </c>
      <c r="C4" s="3">
        <v>34445</v>
      </c>
      <c r="D4" s="3">
        <v>34445</v>
      </c>
      <c r="E4" s="3">
        <v>34445</v>
      </c>
      <c r="F4" s="3">
        <v>34445</v>
      </c>
      <c r="G4" s="3">
        <v>34445</v>
      </c>
      <c r="H4" s="3">
        <v>34445</v>
      </c>
      <c r="I4" s="3">
        <v>34445</v>
      </c>
      <c r="J4" s="3">
        <v>34445</v>
      </c>
      <c r="K4" s="3">
        <v>34445</v>
      </c>
      <c r="L4" s="3">
        <v>34445</v>
      </c>
      <c r="M4" s="3">
        <v>34445</v>
      </c>
      <c r="N4" s="3">
        <v>34445</v>
      </c>
      <c r="O4" s="3">
        <v>34445</v>
      </c>
      <c r="P4" s="3">
        <v>34445</v>
      </c>
      <c r="Q4" s="3">
        <v>34445</v>
      </c>
      <c r="R4" s="3">
        <v>34445</v>
      </c>
      <c r="S4" s="3">
        <v>34445</v>
      </c>
      <c r="T4" s="3">
        <v>34445</v>
      </c>
      <c r="U4" s="3">
        <v>34445</v>
      </c>
      <c r="V4" s="3">
        <v>34445</v>
      </c>
      <c r="W4" s="3">
        <v>34445</v>
      </c>
      <c r="X4" s="3">
        <v>34445</v>
      </c>
      <c r="Y4" s="3">
        <v>34445</v>
      </c>
    </row>
    <row r="5" spans="1:49" s="48" customFormat="1" ht="15" thickBot="1" x14ac:dyDescent="0.4">
      <c r="A5" s="49" t="s">
        <v>132</v>
      </c>
      <c r="B5" s="3">
        <v>7640</v>
      </c>
      <c r="C5" s="3">
        <v>7640</v>
      </c>
      <c r="D5" s="3">
        <v>7640</v>
      </c>
      <c r="E5" s="3">
        <v>7640</v>
      </c>
      <c r="F5" s="3">
        <v>7640</v>
      </c>
      <c r="G5" s="3">
        <v>7640</v>
      </c>
      <c r="H5" s="3">
        <v>7640</v>
      </c>
      <c r="I5" s="3">
        <v>7640</v>
      </c>
      <c r="J5" s="3">
        <v>7640</v>
      </c>
      <c r="K5" s="3">
        <v>7640</v>
      </c>
      <c r="L5" s="3">
        <v>7640</v>
      </c>
      <c r="M5" s="3">
        <v>7640</v>
      </c>
      <c r="N5" s="3">
        <v>7640</v>
      </c>
      <c r="O5" s="3">
        <v>7640</v>
      </c>
      <c r="P5" s="3">
        <v>7640</v>
      </c>
      <c r="Q5" s="3">
        <v>7640</v>
      </c>
      <c r="R5" s="3">
        <v>7640</v>
      </c>
      <c r="S5" s="3">
        <v>7640</v>
      </c>
      <c r="T5" s="3">
        <v>7640</v>
      </c>
      <c r="U5" s="3">
        <v>7640</v>
      </c>
      <c r="V5" s="3">
        <v>7640</v>
      </c>
      <c r="W5" s="3">
        <v>7640</v>
      </c>
      <c r="X5" s="3">
        <v>7640</v>
      </c>
      <c r="Y5" s="3">
        <v>7640</v>
      </c>
    </row>
    <row r="6" spans="1:49" x14ac:dyDescent="0.35">
      <c r="A6" s="38" t="s">
        <v>112</v>
      </c>
      <c r="B6" s="3">
        <v>52551.5625</v>
      </c>
      <c r="C6" s="3">
        <v>52551.5625</v>
      </c>
      <c r="D6" s="3">
        <v>52551.5625</v>
      </c>
      <c r="E6" s="3">
        <v>52551.5625</v>
      </c>
      <c r="F6" s="3">
        <v>52551.5625</v>
      </c>
      <c r="G6" s="3">
        <v>52551.5625</v>
      </c>
      <c r="H6" s="3">
        <v>52551.5625</v>
      </c>
      <c r="I6" s="3">
        <v>52551.5625</v>
      </c>
      <c r="J6" s="3">
        <v>52551.5625</v>
      </c>
      <c r="K6" s="3">
        <v>52551.5625</v>
      </c>
      <c r="L6" s="3">
        <v>52551.5625</v>
      </c>
      <c r="M6" s="3">
        <v>52551.5625</v>
      </c>
      <c r="N6" s="3">
        <v>52551.5625</v>
      </c>
      <c r="O6" s="3">
        <v>52551.5625</v>
      </c>
      <c r="P6" s="3">
        <v>52551.5625</v>
      </c>
      <c r="Q6" s="3">
        <v>52551.5625</v>
      </c>
      <c r="R6" s="3">
        <v>52551.5625</v>
      </c>
      <c r="S6" s="3">
        <v>52551.5625</v>
      </c>
      <c r="T6" s="3">
        <v>52551.5625</v>
      </c>
      <c r="U6" s="3">
        <v>52551.5625</v>
      </c>
      <c r="V6" s="3">
        <v>52551.5625</v>
      </c>
      <c r="W6" s="3">
        <v>52551.5625</v>
      </c>
      <c r="X6" s="3">
        <v>52551.5625</v>
      </c>
      <c r="Y6" s="5">
        <v>52551.5625</v>
      </c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</row>
    <row r="7" spans="1:49" x14ac:dyDescent="0.35">
      <c r="A7" s="40" t="s">
        <v>119</v>
      </c>
      <c r="B7" s="3">
        <v>44881.875</v>
      </c>
      <c r="C7" s="3">
        <v>44881.875</v>
      </c>
      <c r="D7" s="3">
        <v>44881.875</v>
      </c>
      <c r="E7" s="3">
        <v>44881.875</v>
      </c>
      <c r="F7" s="3">
        <v>44881.875</v>
      </c>
      <c r="G7" s="3">
        <v>44881.875</v>
      </c>
      <c r="H7" s="3">
        <v>44881.875</v>
      </c>
      <c r="I7" s="3">
        <v>44881.875</v>
      </c>
      <c r="J7" s="3">
        <v>44881.875</v>
      </c>
      <c r="K7" s="3">
        <v>44881.875</v>
      </c>
      <c r="L7" s="3">
        <v>44881.875</v>
      </c>
      <c r="M7" s="3">
        <v>44881.875</v>
      </c>
      <c r="N7" s="3">
        <v>44881.875</v>
      </c>
      <c r="O7" s="3">
        <v>44881.875</v>
      </c>
      <c r="P7" s="3">
        <v>44881.875</v>
      </c>
      <c r="Q7" s="3">
        <v>44881.875</v>
      </c>
      <c r="R7" s="3">
        <v>44881.875</v>
      </c>
      <c r="S7" s="3">
        <v>44881.875</v>
      </c>
      <c r="T7" s="3">
        <v>44881.875</v>
      </c>
      <c r="U7" s="3">
        <v>44881.875</v>
      </c>
      <c r="V7" s="3">
        <v>44881.875</v>
      </c>
      <c r="W7" s="3">
        <v>44881.875</v>
      </c>
      <c r="X7" s="3">
        <v>44881.875</v>
      </c>
      <c r="Y7" s="5">
        <v>44881.875</v>
      </c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</row>
    <row r="8" spans="1:49" s="48" customFormat="1" x14ac:dyDescent="0.35">
      <c r="A8" s="40" t="s">
        <v>126</v>
      </c>
      <c r="B8" s="3">
        <f>(187-1.6-2.67)*4545/24</f>
        <v>34604.493750000001</v>
      </c>
      <c r="C8" s="3">
        <f t="shared" ref="C8:Y8" si="0">(187-1.6-2.67)*4545/24</f>
        <v>34604.493750000001</v>
      </c>
      <c r="D8" s="3">
        <f t="shared" si="0"/>
        <v>34604.493750000001</v>
      </c>
      <c r="E8" s="3">
        <f t="shared" si="0"/>
        <v>34604.493750000001</v>
      </c>
      <c r="F8" s="3">
        <f t="shared" si="0"/>
        <v>34604.493750000001</v>
      </c>
      <c r="G8" s="3">
        <f t="shared" si="0"/>
        <v>34604.493750000001</v>
      </c>
      <c r="H8" s="3">
        <f t="shared" si="0"/>
        <v>34604.493750000001</v>
      </c>
      <c r="I8" s="3">
        <f t="shared" si="0"/>
        <v>34604.493750000001</v>
      </c>
      <c r="J8" s="3">
        <f t="shared" si="0"/>
        <v>34604.493750000001</v>
      </c>
      <c r="K8" s="3">
        <f t="shared" si="0"/>
        <v>34604.493750000001</v>
      </c>
      <c r="L8" s="3">
        <f t="shared" si="0"/>
        <v>34604.493750000001</v>
      </c>
      <c r="M8" s="3">
        <f t="shared" si="0"/>
        <v>34604.493750000001</v>
      </c>
      <c r="N8" s="3">
        <f t="shared" si="0"/>
        <v>34604.493750000001</v>
      </c>
      <c r="O8" s="3">
        <f t="shared" si="0"/>
        <v>34604.493750000001</v>
      </c>
      <c r="P8" s="3">
        <f t="shared" si="0"/>
        <v>34604.493750000001</v>
      </c>
      <c r="Q8" s="3">
        <f t="shared" si="0"/>
        <v>34604.493750000001</v>
      </c>
      <c r="R8" s="3">
        <f t="shared" si="0"/>
        <v>34604.493750000001</v>
      </c>
      <c r="S8" s="3">
        <f t="shared" si="0"/>
        <v>34604.493750000001</v>
      </c>
      <c r="T8" s="3">
        <f t="shared" si="0"/>
        <v>34604.493750000001</v>
      </c>
      <c r="U8" s="3">
        <f t="shared" si="0"/>
        <v>34604.493750000001</v>
      </c>
      <c r="V8" s="3">
        <f t="shared" si="0"/>
        <v>34604.493750000001</v>
      </c>
      <c r="W8" s="3">
        <f t="shared" si="0"/>
        <v>34604.493750000001</v>
      </c>
      <c r="X8" s="3">
        <f t="shared" si="0"/>
        <v>34604.493750000001</v>
      </c>
      <c r="Y8" s="3">
        <f t="shared" si="0"/>
        <v>34604.493750000001</v>
      </c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</row>
    <row r="9" spans="1:49" s="48" customFormat="1" x14ac:dyDescent="0.35">
      <c r="A9" s="40" t="s">
        <v>133</v>
      </c>
      <c r="B9" s="3">
        <f>(48-0.06-0.71)*4545/24</f>
        <v>8944.1812499999996</v>
      </c>
      <c r="C9" s="3">
        <f t="shared" ref="C9:Y9" si="1">(48-0.06-0.71)*4545/24</f>
        <v>8944.1812499999996</v>
      </c>
      <c r="D9" s="3">
        <f t="shared" si="1"/>
        <v>8944.1812499999996</v>
      </c>
      <c r="E9" s="3">
        <f t="shared" si="1"/>
        <v>8944.1812499999996</v>
      </c>
      <c r="F9" s="3">
        <f t="shared" si="1"/>
        <v>8944.1812499999996</v>
      </c>
      <c r="G9" s="3">
        <f t="shared" si="1"/>
        <v>8944.1812499999996</v>
      </c>
      <c r="H9" s="3">
        <f t="shared" si="1"/>
        <v>8944.1812499999996</v>
      </c>
      <c r="I9" s="3">
        <f t="shared" si="1"/>
        <v>8944.1812499999996</v>
      </c>
      <c r="J9" s="3">
        <f t="shared" si="1"/>
        <v>8944.1812499999996</v>
      </c>
      <c r="K9" s="3">
        <f t="shared" si="1"/>
        <v>8944.1812499999996</v>
      </c>
      <c r="L9" s="3">
        <f t="shared" si="1"/>
        <v>8944.1812499999996</v>
      </c>
      <c r="M9" s="3">
        <f t="shared" si="1"/>
        <v>8944.1812499999996</v>
      </c>
      <c r="N9" s="3">
        <f t="shared" si="1"/>
        <v>8944.1812499999996</v>
      </c>
      <c r="O9" s="3">
        <f t="shared" si="1"/>
        <v>8944.1812499999996</v>
      </c>
      <c r="P9" s="3">
        <f t="shared" si="1"/>
        <v>8944.1812499999996</v>
      </c>
      <c r="Q9" s="3">
        <f t="shared" si="1"/>
        <v>8944.1812499999996</v>
      </c>
      <c r="R9" s="3">
        <f t="shared" si="1"/>
        <v>8944.1812499999996</v>
      </c>
      <c r="S9" s="3">
        <f t="shared" si="1"/>
        <v>8944.1812499999996</v>
      </c>
      <c r="T9" s="3">
        <f t="shared" si="1"/>
        <v>8944.1812499999996</v>
      </c>
      <c r="U9" s="3">
        <f t="shared" si="1"/>
        <v>8944.1812499999996</v>
      </c>
      <c r="V9" s="3">
        <f t="shared" si="1"/>
        <v>8944.1812499999996</v>
      </c>
      <c r="W9" s="3">
        <f t="shared" si="1"/>
        <v>8944.1812499999996</v>
      </c>
      <c r="X9" s="3">
        <f t="shared" si="1"/>
        <v>8944.1812499999996</v>
      </c>
      <c r="Y9" s="3">
        <f t="shared" si="1"/>
        <v>8944.1812499999996</v>
      </c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</row>
    <row r="10" spans="1:49" x14ac:dyDescent="0.35">
      <c r="A10" s="39" t="s">
        <v>113</v>
      </c>
      <c r="B10" s="3">
        <v>52835.625</v>
      </c>
      <c r="C10" s="3">
        <v>52835.625</v>
      </c>
      <c r="D10" s="3">
        <v>52835.625</v>
      </c>
      <c r="E10" s="3">
        <v>52835.625</v>
      </c>
      <c r="F10" s="3">
        <v>52835.625</v>
      </c>
      <c r="G10" s="3">
        <v>52835.625</v>
      </c>
      <c r="H10" s="3">
        <v>52835.625</v>
      </c>
      <c r="I10" s="3">
        <v>52835.625</v>
      </c>
      <c r="J10" s="3">
        <v>52835.625</v>
      </c>
      <c r="K10" s="3">
        <v>52835.625</v>
      </c>
      <c r="L10" s="3">
        <v>52835.625</v>
      </c>
      <c r="M10" s="3">
        <v>52835.625</v>
      </c>
      <c r="N10" s="3">
        <v>52835.625</v>
      </c>
      <c r="O10" s="3">
        <v>52835.625</v>
      </c>
      <c r="P10" s="3">
        <v>52835.625</v>
      </c>
      <c r="Q10" s="3">
        <v>52835.625</v>
      </c>
      <c r="R10" s="3">
        <v>52835.625</v>
      </c>
      <c r="S10" s="3">
        <v>52835.625</v>
      </c>
      <c r="T10" s="3">
        <v>52835.625</v>
      </c>
      <c r="U10" s="3">
        <v>52835.625</v>
      </c>
      <c r="V10" s="3">
        <v>52835.625</v>
      </c>
      <c r="W10" s="3">
        <v>52835.625</v>
      </c>
      <c r="X10" s="3">
        <v>52835.625</v>
      </c>
      <c r="Y10" s="5">
        <v>52835.625</v>
      </c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</row>
    <row r="11" spans="1:49" x14ac:dyDescent="0.35">
      <c r="A11" s="39" t="s">
        <v>120</v>
      </c>
      <c r="B11" s="3">
        <v>42988.125</v>
      </c>
      <c r="C11" s="3">
        <v>42988.125</v>
      </c>
      <c r="D11" s="3">
        <v>42988.125</v>
      </c>
      <c r="E11" s="3">
        <v>42988.125</v>
      </c>
      <c r="F11" s="3">
        <v>42988.125</v>
      </c>
      <c r="G11" s="3">
        <v>42988.125</v>
      </c>
      <c r="H11" s="3">
        <v>42988.125</v>
      </c>
      <c r="I11" s="3">
        <v>42988.125</v>
      </c>
      <c r="J11" s="3">
        <v>42988.125</v>
      </c>
      <c r="K11" s="3">
        <v>42988.125</v>
      </c>
      <c r="L11" s="3">
        <v>42988.125</v>
      </c>
      <c r="M11" s="3">
        <v>42988.125</v>
      </c>
      <c r="N11" s="3">
        <v>42988.125</v>
      </c>
      <c r="O11" s="3">
        <v>42988.125</v>
      </c>
      <c r="P11" s="3">
        <v>42988.125</v>
      </c>
      <c r="Q11" s="3">
        <v>42988.125</v>
      </c>
      <c r="R11" s="3">
        <v>42988.125</v>
      </c>
      <c r="S11" s="3">
        <v>42988.125</v>
      </c>
      <c r="T11" s="3">
        <v>42988.125</v>
      </c>
      <c r="U11" s="3">
        <v>42988.125</v>
      </c>
      <c r="V11" s="3">
        <v>42988.125</v>
      </c>
      <c r="W11" s="3">
        <v>42988.125</v>
      </c>
      <c r="X11" s="3">
        <v>42988.125</v>
      </c>
      <c r="Y11" s="5">
        <v>42988.125</v>
      </c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</row>
    <row r="12" spans="1:49" s="48" customFormat="1" x14ac:dyDescent="0.35">
      <c r="A12" s="39" t="s">
        <v>127</v>
      </c>
      <c r="B12" s="3">
        <f>(188-1.6-2.67)*4545/24</f>
        <v>34793.868750000001</v>
      </c>
      <c r="C12" s="3">
        <f t="shared" ref="C12:Y12" si="2">(188-1.6-2.67)*4545/24</f>
        <v>34793.868750000001</v>
      </c>
      <c r="D12" s="3">
        <f t="shared" si="2"/>
        <v>34793.868750000001</v>
      </c>
      <c r="E12" s="3">
        <f t="shared" si="2"/>
        <v>34793.868750000001</v>
      </c>
      <c r="F12" s="3">
        <f t="shared" si="2"/>
        <v>34793.868750000001</v>
      </c>
      <c r="G12" s="3">
        <f t="shared" si="2"/>
        <v>34793.868750000001</v>
      </c>
      <c r="H12" s="3">
        <f t="shared" si="2"/>
        <v>34793.868750000001</v>
      </c>
      <c r="I12" s="3">
        <f t="shared" si="2"/>
        <v>34793.868750000001</v>
      </c>
      <c r="J12" s="3">
        <f t="shared" si="2"/>
        <v>34793.868750000001</v>
      </c>
      <c r="K12" s="3">
        <f t="shared" si="2"/>
        <v>34793.868750000001</v>
      </c>
      <c r="L12" s="3">
        <f t="shared" si="2"/>
        <v>34793.868750000001</v>
      </c>
      <c r="M12" s="3">
        <f t="shared" si="2"/>
        <v>34793.868750000001</v>
      </c>
      <c r="N12" s="3">
        <f t="shared" si="2"/>
        <v>34793.868750000001</v>
      </c>
      <c r="O12" s="3">
        <f t="shared" si="2"/>
        <v>34793.868750000001</v>
      </c>
      <c r="P12" s="3">
        <f t="shared" si="2"/>
        <v>34793.868750000001</v>
      </c>
      <c r="Q12" s="3">
        <f t="shared" si="2"/>
        <v>34793.868750000001</v>
      </c>
      <c r="R12" s="3">
        <f t="shared" si="2"/>
        <v>34793.868750000001</v>
      </c>
      <c r="S12" s="3">
        <f t="shared" si="2"/>
        <v>34793.868750000001</v>
      </c>
      <c r="T12" s="3">
        <f t="shared" si="2"/>
        <v>34793.868750000001</v>
      </c>
      <c r="U12" s="3">
        <f t="shared" si="2"/>
        <v>34793.868750000001</v>
      </c>
      <c r="V12" s="3">
        <f t="shared" si="2"/>
        <v>34793.868750000001</v>
      </c>
      <c r="W12" s="3">
        <f t="shared" si="2"/>
        <v>34793.868750000001</v>
      </c>
      <c r="X12" s="3">
        <f t="shared" si="2"/>
        <v>34793.868750000001</v>
      </c>
      <c r="Y12" s="3">
        <f t="shared" si="2"/>
        <v>34793.868750000001</v>
      </c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</row>
    <row r="13" spans="1:49" s="48" customFormat="1" x14ac:dyDescent="0.35">
      <c r="A13" s="39" t="s">
        <v>134</v>
      </c>
      <c r="B13" s="3">
        <f>(49-0.06-0.71)*4545/24</f>
        <v>9133.5562499999996</v>
      </c>
      <c r="C13" s="3">
        <f t="shared" ref="C13:Y13" si="3">(49-0.06-0.71)*4545/24</f>
        <v>9133.5562499999996</v>
      </c>
      <c r="D13" s="3">
        <f t="shared" si="3"/>
        <v>9133.5562499999996</v>
      </c>
      <c r="E13" s="3">
        <f t="shared" si="3"/>
        <v>9133.5562499999996</v>
      </c>
      <c r="F13" s="3">
        <f t="shared" si="3"/>
        <v>9133.5562499999996</v>
      </c>
      <c r="G13" s="3">
        <f t="shared" si="3"/>
        <v>9133.5562499999996</v>
      </c>
      <c r="H13" s="3">
        <f t="shared" si="3"/>
        <v>9133.5562499999996</v>
      </c>
      <c r="I13" s="3">
        <f t="shared" si="3"/>
        <v>9133.5562499999996</v>
      </c>
      <c r="J13" s="3">
        <f t="shared" si="3"/>
        <v>9133.5562499999996</v>
      </c>
      <c r="K13" s="3">
        <f t="shared" si="3"/>
        <v>9133.5562499999996</v>
      </c>
      <c r="L13" s="3">
        <f t="shared" si="3"/>
        <v>9133.5562499999996</v>
      </c>
      <c r="M13" s="3">
        <f t="shared" si="3"/>
        <v>9133.5562499999996</v>
      </c>
      <c r="N13" s="3">
        <f t="shared" si="3"/>
        <v>9133.5562499999996</v>
      </c>
      <c r="O13" s="3">
        <f t="shared" si="3"/>
        <v>9133.5562499999996</v>
      </c>
      <c r="P13" s="3">
        <f t="shared" si="3"/>
        <v>9133.5562499999996</v>
      </c>
      <c r="Q13" s="3">
        <f t="shared" si="3"/>
        <v>9133.5562499999996</v>
      </c>
      <c r="R13" s="3">
        <f t="shared" si="3"/>
        <v>9133.5562499999996</v>
      </c>
      <c r="S13" s="3">
        <f t="shared" si="3"/>
        <v>9133.5562499999996</v>
      </c>
      <c r="T13" s="3">
        <f t="shared" si="3"/>
        <v>9133.5562499999996</v>
      </c>
      <c r="U13" s="3">
        <f t="shared" si="3"/>
        <v>9133.5562499999996</v>
      </c>
      <c r="V13" s="3">
        <f t="shared" si="3"/>
        <v>9133.5562499999996</v>
      </c>
      <c r="W13" s="3">
        <f t="shared" si="3"/>
        <v>9133.5562499999996</v>
      </c>
      <c r="X13" s="3">
        <f t="shared" si="3"/>
        <v>9133.5562499999996</v>
      </c>
      <c r="Y13" s="3">
        <f t="shared" si="3"/>
        <v>9133.5562499999996</v>
      </c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</row>
    <row r="14" spans="1:49" x14ac:dyDescent="0.35">
      <c r="A14" s="38" t="s">
        <v>114</v>
      </c>
      <c r="B14" s="3">
        <v>53214.375</v>
      </c>
      <c r="C14" s="3">
        <v>53214.375</v>
      </c>
      <c r="D14" s="3">
        <v>53214.375</v>
      </c>
      <c r="E14" s="3">
        <v>53214.375</v>
      </c>
      <c r="F14" s="3">
        <v>53214.375</v>
      </c>
      <c r="G14" s="3">
        <v>53214.375</v>
      </c>
      <c r="H14" s="3">
        <v>53214.375</v>
      </c>
      <c r="I14" s="3">
        <v>53214.375</v>
      </c>
      <c r="J14" s="3">
        <v>53214.375</v>
      </c>
      <c r="K14" s="3">
        <v>53214.375</v>
      </c>
      <c r="L14" s="3">
        <v>53214.375</v>
      </c>
      <c r="M14" s="3">
        <v>53214.375</v>
      </c>
      <c r="N14" s="3">
        <v>53214.375</v>
      </c>
      <c r="O14" s="3">
        <v>53214.375</v>
      </c>
      <c r="P14" s="3">
        <v>53214.375</v>
      </c>
      <c r="Q14" s="3">
        <v>53214.375</v>
      </c>
      <c r="R14" s="3">
        <v>53214.375</v>
      </c>
      <c r="S14" s="3">
        <v>53214.375</v>
      </c>
      <c r="T14" s="3">
        <v>53214.375</v>
      </c>
      <c r="U14" s="3">
        <v>53214.375</v>
      </c>
      <c r="V14" s="3">
        <v>53214.375</v>
      </c>
      <c r="W14" s="3">
        <v>53214.375</v>
      </c>
      <c r="X14" s="3">
        <v>53214.375</v>
      </c>
      <c r="Y14" s="5">
        <v>53214.375</v>
      </c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</row>
    <row r="15" spans="1:49" x14ac:dyDescent="0.35">
      <c r="A15" s="38" t="s">
        <v>121</v>
      </c>
      <c r="B15" s="3">
        <v>41662.5</v>
      </c>
      <c r="C15" s="3">
        <v>41662.5</v>
      </c>
      <c r="D15" s="3">
        <v>41662.5</v>
      </c>
      <c r="E15" s="3">
        <v>41662.5</v>
      </c>
      <c r="F15" s="3">
        <v>41662.5</v>
      </c>
      <c r="G15" s="3">
        <v>41662.5</v>
      </c>
      <c r="H15" s="3">
        <v>41662.5</v>
      </c>
      <c r="I15" s="3">
        <v>41662.5</v>
      </c>
      <c r="J15" s="3">
        <v>41662.5</v>
      </c>
      <c r="K15" s="3">
        <v>41662.5</v>
      </c>
      <c r="L15" s="3">
        <v>41662.5</v>
      </c>
      <c r="M15" s="3">
        <v>41662.5</v>
      </c>
      <c r="N15" s="3">
        <v>41662.5</v>
      </c>
      <c r="O15" s="3">
        <v>41662.5</v>
      </c>
      <c r="P15" s="3">
        <v>41662.5</v>
      </c>
      <c r="Q15" s="3">
        <v>41662.5</v>
      </c>
      <c r="R15" s="3">
        <v>41662.5</v>
      </c>
      <c r="S15" s="3">
        <v>41662.5</v>
      </c>
      <c r="T15" s="3">
        <v>41662.5</v>
      </c>
      <c r="U15" s="3">
        <v>41662.5</v>
      </c>
      <c r="V15" s="3">
        <v>41662.5</v>
      </c>
      <c r="W15" s="3">
        <v>41662.5</v>
      </c>
      <c r="X15" s="3">
        <v>41662.5</v>
      </c>
      <c r="Y15" s="5">
        <v>41662.5</v>
      </c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</row>
    <row r="16" spans="1:49" s="48" customFormat="1" x14ac:dyDescent="0.35">
      <c r="A16" s="38" t="s">
        <v>128</v>
      </c>
      <c r="B16" s="3">
        <f>(187.5-1.6-2.67)*4545/24</f>
        <v>34699.181250000001</v>
      </c>
      <c r="C16" s="3">
        <f t="shared" ref="C16:Y16" si="4">(187.5-1.6-2.67)*4545/24</f>
        <v>34699.181250000001</v>
      </c>
      <c r="D16" s="3">
        <f t="shared" si="4"/>
        <v>34699.181250000001</v>
      </c>
      <c r="E16" s="3">
        <f t="shared" si="4"/>
        <v>34699.181250000001</v>
      </c>
      <c r="F16" s="3">
        <f t="shared" si="4"/>
        <v>34699.181250000001</v>
      </c>
      <c r="G16" s="3">
        <f t="shared" si="4"/>
        <v>34699.181250000001</v>
      </c>
      <c r="H16" s="3">
        <f t="shared" si="4"/>
        <v>34699.181250000001</v>
      </c>
      <c r="I16" s="3">
        <f t="shared" si="4"/>
        <v>34699.181250000001</v>
      </c>
      <c r="J16" s="3">
        <f t="shared" si="4"/>
        <v>34699.181250000001</v>
      </c>
      <c r="K16" s="3">
        <f t="shared" si="4"/>
        <v>34699.181250000001</v>
      </c>
      <c r="L16" s="3">
        <f t="shared" si="4"/>
        <v>34699.181250000001</v>
      </c>
      <c r="M16" s="3">
        <f t="shared" si="4"/>
        <v>34699.181250000001</v>
      </c>
      <c r="N16" s="3">
        <f t="shared" si="4"/>
        <v>34699.181250000001</v>
      </c>
      <c r="O16" s="3">
        <f t="shared" si="4"/>
        <v>34699.181250000001</v>
      </c>
      <c r="P16" s="3">
        <f t="shared" si="4"/>
        <v>34699.181250000001</v>
      </c>
      <c r="Q16" s="3">
        <f t="shared" si="4"/>
        <v>34699.181250000001</v>
      </c>
      <c r="R16" s="3">
        <f t="shared" si="4"/>
        <v>34699.181250000001</v>
      </c>
      <c r="S16" s="3">
        <f t="shared" si="4"/>
        <v>34699.181250000001</v>
      </c>
      <c r="T16" s="3">
        <f t="shared" si="4"/>
        <v>34699.181250000001</v>
      </c>
      <c r="U16" s="3">
        <f t="shared" si="4"/>
        <v>34699.181250000001</v>
      </c>
      <c r="V16" s="3">
        <f t="shared" si="4"/>
        <v>34699.181250000001</v>
      </c>
      <c r="W16" s="3">
        <f t="shared" si="4"/>
        <v>34699.181250000001</v>
      </c>
      <c r="X16" s="3">
        <f t="shared" si="4"/>
        <v>34699.181250000001</v>
      </c>
      <c r="Y16" s="3">
        <f t="shared" si="4"/>
        <v>34699.181250000001</v>
      </c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</row>
    <row r="17" spans="1:49" s="48" customFormat="1" x14ac:dyDescent="0.35">
      <c r="A17" s="38" t="s">
        <v>135</v>
      </c>
      <c r="B17" s="3">
        <f>(48-0.06-0.71)*4545/24</f>
        <v>8944.1812499999996</v>
      </c>
      <c r="C17" s="3">
        <f t="shared" ref="C17:Y17" si="5">(48-0.06-0.71)*4545/24</f>
        <v>8944.1812499999996</v>
      </c>
      <c r="D17" s="3">
        <f t="shared" si="5"/>
        <v>8944.1812499999996</v>
      </c>
      <c r="E17" s="3">
        <f t="shared" si="5"/>
        <v>8944.1812499999996</v>
      </c>
      <c r="F17" s="3">
        <f t="shared" si="5"/>
        <v>8944.1812499999996</v>
      </c>
      <c r="G17" s="3">
        <f t="shared" si="5"/>
        <v>8944.1812499999996</v>
      </c>
      <c r="H17" s="3">
        <f t="shared" si="5"/>
        <v>8944.1812499999996</v>
      </c>
      <c r="I17" s="3">
        <f t="shared" si="5"/>
        <v>8944.1812499999996</v>
      </c>
      <c r="J17" s="3">
        <f t="shared" si="5"/>
        <v>8944.1812499999996</v>
      </c>
      <c r="K17" s="3">
        <f t="shared" si="5"/>
        <v>8944.1812499999996</v>
      </c>
      <c r="L17" s="3">
        <f t="shared" si="5"/>
        <v>8944.1812499999996</v>
      </c>
      <c r="M17" s="3">
        <f t="shared" si="5"/>
        <v>8944.1812499999996</v>
      </c>
      <c r="N17" s="3">
        <f t="shared" si="5"/>
        <v>8944.1812499999996</v>
      </c>
      <c r="O17" s="3">
        <f t="shared" si="5"/>
        <v>8944.1812499999996</v>
      </c>
      <c r="P17" s="3">
        <f t="shared" si="5"/>
        <v>8944.1812499999996</v>
      </c>
      <c r="Q17" s="3">
        <f t="shared" si="5"/>
        <v>8944.1812499999996</v>
      </c>
      <c r="R17" s="3">
        <f t="shared" si="5"/>
        <v>8944.1812499999996</v>
      </c>
      <c r="S17" s="3">
        <f t="shared" si="5"/>
        <v>8944.1812499999996</v>
      </c>
      <c r="T17" s="3">
        <f t="shared" si="5"/>
        <v>8944.1812499999996</v>
      </c>
      <c r="U17" s="3">
        <f t="shared" si="5"/>
        <v>8944.1812499999996</v>
      </c>
      <c r="V17" s="3">
        <f t="shared" si="5"/>
        <v>8944.1812499999996</v>
      </c>
      <c r="W17" s="3">
        <f t="shared" si="5"/>
        <v>8944.1812499999996</v>
      </c>
      <c r="X17" s="3">
        <f t="shared" si="5"/>
        <v>8944.1812499999996</v>
      </c>
      <c r="Y17" s="3">
        <f t="shared" si="5"/>
        <v>8944.1812499999996</v>
      </c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</row>
    <row r="18" spans="1:49" x14ac:dyDescent="0.35">
      <c r="A18" s="39" t="s">
        <v>115</v>
      </c>
      <c r="B18" s="3">
        <v>50847.1875</v>
      </c>
      <c r="C18" s="3">
        <v>50847.1875</v>
      </c>
      <c r="D18" s="3">
        <v>50847.1875</v>
      </c>
      <c r="E18" s="3">
        <v>50847.1875</v>
      </c>
      <c r="F18" s="3">
        <v>50847.1875</v>
      </c>
      <c r="G18" s="3">
        <v>50847.1875</v>
      </c>
      <c r="H18" s="3">
        <v>50847.1875</v>
      </c>
      <c r="I18" s="3">
        <v>50847.1875</v>
      </c>
      <c r="J18" s="3">
        <v>50847.1875</v>
      </c>
      <c r="K18" s="3">
        <v>50847.1875</v>
      </c>
      <c r="L18" s="3">
        <v>50847.1875</v>
      </c>
      <c r="M18" s="3">
        <v>50847.1875</v>
      </c>
      <c r="N18" s="3">
        <v>50847.1875</v>
      </c>
      <c r="O18" s="3">
        <v>50847.1875</v>
      </c>
      <c r="P18" s="3">
        <v>50847.1875</v>
      </c>
      <c r="Q18" s="3">
        <v>50847.1875</v>
      </c>
      <c r="R18" s="3">
        <v>50847.1875</v>
      </c>
      <c r="S18" s="3">
        <v>50847.1875</v>
      </c>
      <c r="T18" s="3">
        <v>50847.1875</v>
      </c>
      <c r="U18" s="3">
        <v>50847.1875</v>
      </c>
      <c r="V18" s="3">
        <v>50847.1875</v>
      </c>
      <c r="W18" s="3">
        <v>50847.1875</v>
      </c>
      <c r="X18" s="3">
        <v>50847.1875</v>
      </c>
      <c r="Y18" s="5">
        <v>50847.1875</v>
      </c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</row>
    <row r="19" spans="1:49" x14ac:dyDescent="0.35">
      <c r="A19" s="39" t="s">
        <v>122</v>
      </c>
      <c r="B19" s="3">
        <v>42609.375</v>
      </c>
      <c r="C19" s="3">
        <v>42609.375</v>
      </c>
      <c r="D19" s="3">
        <v>42609.375</v>
      </c>
      <c r="E19" s="3">
        <v>42609.375</v>
      </c>
      <c r="F19" s="3">
        <v>42609.375</v>
      </c>
      <c r="G19" s="3">
        <v>42609.375</v>
      </c>
      <c r="H19" s="3">
        <v>42609.375</v>
      </c>
      <c r="I19" s="3">
        <v>42609.375</v>
      </c>
      <c r="J19" s="3">
        <v>42609.375</v>
      </c>
      <c r="K19" s="3">
        <v>42609.375</v>
      </c>
      <c r="L19" s="3">
        <v>42609.375</v>
      </c>
      <c r="M19" s="3">
        <v>42609.375</v>
      </c>
      <c r="N19" s="3">
        <v>42609.375</v>
      </c>
      <c r="O19" s="3">
        <v>42609.375</v>
      </c>
      <c r="P19" s="3">
        <v>42609.375</v>
      </c>
      <c r="Q19" s="3">
        <v>42609.375</v>
      </c>
      <c r="R19" s="3">
        <v>42609.375</v>
      </c>
      <c r="S19" s="3">
        <v>42609.375</v>
      </c>
      <c r="T19" s="3">
        <v>42609.375</v>
      </c>
      <c r="U19" s="3">
        <v>42609.375</v>
      </c>
      <c r="V19" s="3">
        <v>42609.375</v>
      </c>
      <c r="W19" s="3">
        <v>42609.375</v>
      </c>
      <c r="X19" s="3">
        <v>42609.375</v>
      </c>
      <c r="Y19" s="5">
        <v>42609.375</v>
      </c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</row>
    <row r="20" spans="1:49" s="48" customFormat="1" x14ac:dyDescent="0.35">
      <c r="A20" s="39" t="s">
        <v>129</v>
      </c>
      <c r="B20" s="3">
        <f>(183-1.6-2.67)*4545/24</f>
        <v>33846.993750000001</v>
      </c>
      <c r="C20" s="3">
        <f t="shared" ref="C20:Y20" si="6">(183-1.6-2.67)*4545/24</f>
        <v>33846.993750000001</v>
      </c>
      <c r="D20" s="3">
        <f t="shared" si="6"/>
        <v>33846.993750000001</v>
      </c>
      <c r="E20" s="3">
        <f t="shared" si="6"/>
        <v>33846.993750000001</v>
      </c>
      <c r="F20" s="3">
        <f t="shared" si="6"/>
        <v>33846.993750000001</v>
      </c>
      <c r="G20" s="3">
        <f t="shared" si="6"/>
        <v>33846.993750000001</v>
      </c>
      <c r="H20" s="3">
        <f t="shared" si="6"/>
        <v>33846.993750000001</v>
      </c>
      <c r="I20" s="3">
        <f t="shared" si="6"/>
        <v>33846.993750000001</v>
      </c>
      <c r="J20" s="3">
        <f t="shared" si="6"/>
        <v>33846.993750000001</v>
      </c>
      <c r="K20" s="3">
        <f t="shared" si="6"/>
        <v>33846.993750000001</v>
      </c>
      <c r="L20" s="3">
        <f t="shared" si="6"/>
        <v>33846.993750000001</v>
      </c>
      <c r="M20" s="3">
        <f t="shared" si="6"/>
        <v>33846.993750000001</v>
      </c>
      <c r="N20" s="3">
        <f t="shared" si="6"/>
        <v>33846.993750000001</v>
      </c>
      <c r="O20" s="3">
        <f t="shared" si="6"/>
        <v>33846.993750000001</v>
      </c>
      <c r="P20" s="3">
        <f t="shared" si="6"/>
        <v>33846.993750000001</v>
      </c>
      <c r="Q20" s="3">
        <f t="shared" si="6"/>
        <v>33846.993750000001</v>
      </c>
      <c r="R20" s="3">
        <f t="shared" si="6"/>
        <v>33846.993750000001</v>
      </c>
      <c r="S20" s="3">
        <f t="shared" si="6"/>
        <v>33846.993750000001</v>
      </c>
      <c r="T20" s="3">
        <f t="shared" si="6"/>
        <v>33846.993750000001</v>
      </c>
      <c r="U20" s="3">
        <f t="shared" si="6"/>
        <v>33846.993750000001</v>
      </c>
      <c r="V20" s="3">
        <f t="shared" si="6"/>
        <v>33846.993750000001</v>
      </c>
      <c r="W20" s="3">
        <f t="shared" si="6"/>
        <v>33846.993750000001</v>
      </c>
      <c r="X20" s="3">
        <f t="shared" si="6"/>
        <v>33846.993750000001</v>
      </c>
      <c r="Y20" s="3">
        <f t="shared" si="6"/>
        <v>33846.993750000001</v>
      </c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</row>
    <row r="21" spans="1:49" s="48" customFormat="1" x14ac:dyDescent="0.35">
      <c r="A21" s="39" t="s">
        <v>136</v>
      </c>
      <c r="B21" s="3">
        <f>(45-0.06-0.71)*4545/24</f>
        <v>8376.0562499999996</v>
      </c>
      <c r="C21" s="3">
        <f t="shared" ref="C21:Y21" si="7">(45-0.06-0.71)*4545/24</f>
        <v>8376.0562499999996</v>
      </c>
      <c r="D21" s="3">
        <f t="shared" si="7"/>
        <v>8376.0562499999996</v>
      </c>
      <c r="E21" s="3">
        <f t="shared" si="7"/>
        <v>8376.0562499999996</v>
      </c>
      <c r="F21" s="3">
        <f t="shared" si="7"/>
        <v>8376.0562499999996</v>
      </c>
      <c r="G21" s="3">
        <f t="shared" si="7"/>
        <v>8376.0562499999996</v>
      </c>
      <c r="H21" s="3">
        <f t="shared" si="7"/>
        <v>8376.0562499999996</v>
      </c>
      <c r="I21" s="3">
        <f t="shared" si="7"/>
        <v>8376.0562499999996</v>
      </c>
      <c r="J21" s="3">
        <f t="shared" si="7"/>
        <v>8376.0562499999996</v>
      </c>
      <c r="K21" s="3">
        <f t="shared" si="7"/>
        <v>8376.0562499999996</v>
      </c>
      <c r="L21" s="3">
        <f t="shared" si="7"/>
        <v>8376.0562499999996</v>
      </c>
      <c r="M21" s="3">
        <f t="shared" si="7"/>
        <v>8376.0562499999996</v>
      </c>
      <c r="N21" s="3">
        <f t="shared" si="7"/>
        <v>8376.0562499999996</v>
      </c>
      <c r="O21" s="3">
        <f t="shared" si="7"/>
        <v>8376.0562499999996</v>
      </c>
      <c r="P21" s="3">
        <f t="shared" si="7"/>
        <v>8376.0562499999996</v>
      </c>
      <c r="Q21" s="3">
        <f t="shared" si="7"/>
        <v>8376.0562499999996</v>
      </c>
      <c r="R21" s="3">
        <f t="shared" si="7"/>
        <v>8376.0562499999996</v>
      </c>
      <c r="S21" s="3">
        <f t="shared" si="7"/>
        <v>8376.0562499999996</v>
      </c>
      <c r="T21" s="3">
        <f t="shared" si="7"/>
        <v>8376.0562499999996</v>
      </c>
      <c r="U21" s="3">
        <f t="shared" si="7"/>
        <v>8376.0562499999996</v>
      </c>
      <c r="V21" s="3">
        <f t="shared" si="7"/>
        <v>8376.0562499999996</v>
      </c>
      <c r="W21" s="3">
        <f t="shared" si="7"/>
        <v>8376.0562499999996</v>
      </c>
      <c r="X21" s="3">
        <f t="shared" si="7"/>
        <v>8376.0562499999996</v>
      </c>
      <c r="Y21" s="3">
        <f t="shared" si="7"/>
        <v>8376.0562499999996</v>
      </c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</row>
    <row r="22" spans="1:49" x14ac:dyDescent="0.35">
      <c r="A22" s="38" t="s">
        <v>116</v>
      </c>
      <c r="B22" s="3">
        <v>48561.431250000001</v>
      </c>
      <c r="C22" s="3">
        <v>48561.431250000001</v>
      </c>
      <c r="D22" s="3">
        <v>48561.431250000001</v>
      </c>
      <c r="E22" s="3">
        <v>48561.431250000001</v>
      </c>
      <c r="F22" s="3">
        <v>48561.431250000001</v>
      </c>
      <c r="G22" s="3">
        <v>48561.431250000001</v>
      </c>
      <c r="H22" s="3">
        <v>48561.431250000001</v>
      </c>
      <c r="I22" s="3">
        <v>48561.431250000001</v>
      </c>
      <c r="J22" s="3">
        <v>48561.431250000001</v>
      </c>
      <c r="K22" s="3">
        <v>48561.431250000001</v>
      </c>
      <c r="L22" s="3">
        <v>48561.431250000001</v>
      </c>
      <c r="M22" s="3">
        <v>48561.431250000001</v>
      </c>
      <c r="N22" s="3">
        <v>48561.431250000001</v>
      </c>
      <c r="O22" s="3">
        <v>48561.431250000001</v>
      </c>
      <c r="P22" s="3">
        <v>48561.431250000001</v>
      </c>
      <c r="Q22" s="3">
        <v>48561.431250000001</v>
      </c>
      <c r="R22" s="3">
        <v>48561.431250000001</v>
      </c>
      <c r="S22" s="3">
        <v>48561.431250000001</v>
      </c>
      <c r="T22" s="3">
        <v>48561.431250000001</v>
      </c>
      <c r="U22" s="3">
        <v>48561.431250000001</v>
      </c>
      <c r="V22" s="3">
        <v>48561.431250000001</v>
      </c>
      <c r="W22" s="3">
        <v>48561.431250000001</v>
      </c>
      <c r="X22" s="3">
        <v>48561.431250000001</v>
      </c>
      <c r="Y22" s="5">
        <v>48561.431250000001</v>
      </c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</row>
    <row r="23" spans="1:49" x14ac:dyDescent="0.35">
      <c r="A23" s="38" t="s">
        <v>123</v>
      </c>
      <c r="B23" s="3">
        <v>39768.75</v>
      </c>
      <c r="C23" s="3">
        <v>39768.75</v>
      </c>
      <c r="D23" s="3">
        <v>39768.75</v>
      </c>
      <c r="E23" s="3">
        <v>39768.75</v>
      </c>
      <c r="F23" s="3">
        <v>39768.75</v>
      </c>
      <c r="G23" s="3">
        <v>39768.75</v>
      </c>
      <c r="H23" s="3">
        <v>39768.75</v>
      </c>
      <c r="I23" s="3">
        <v>39768.75</v>
      </c>
      <c r="J23" s="3">
        <v>39768.75</v>
      </c>
      <c r="K23" s="3">
        <v>39768.75</v>
      </c>
      <c r="L23" s="3">
        <v>39768.75</v>
      </c>
      <c r="M23" s="3">
        <v>39768.75</v>
      </c>
      <c r="N23" s="3">
        <v>39768.75</v>
      </c>
      <c r="O23" s="3">
        <v>39768.75</v>
      </c>
      <c r="P23" s="3">
        <v>39768.75</v>
      </c>
      <c r="Q23" s="3">
        <v>39768.75</v>
      </c>
      <c r="R23" s="3">
        <v>39768.75</v>
      </c>
      <c r="S23" s="3">
        <v>39768.75</v>
      </c>
      <c r="T23" s="3">
        <v>39768.75</v>
      </c>
      <c r="U23" s="3">
        <v>39768.75</v>
      </c>
      <c r="V23" s="3">
        <v>39768.75</v>
      </c>
      <c r="W23" s="3">
        <v>39768.75</v>
      </c>
      <c r="X23" s="3">
        <v>39768.75</v>
      </c>
      <c r="Y23" s="5">
        <v>39768.75</v>
      </c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</row>
    <row r="24" spans="1:49" s="48" customFormat="1" x14ac:dyDescent="0.35">
      <c r="A24" s="38" t="s">
        <v>130</v>
      </c>
      <c r="B24" s="3">
        <f>(176-1.6-2.67)*4545/24</f>
        <v>32521.368750000005</v>
      </c>
      <c r="C24" s="3">
        <f t="shared" ref="C24:Y24" si="8">(176-1.6-2.67)*4545/24</f>
        <v>32521.368750000005</v>
      </c>
      <c r="D24" s="3">
        <f t="shared" si="8"/>
        <v>32521.368750000005</v>
      </c>
      <c r="E24" s="3">
        <f t="shared" si="8"/>
        <v>32521.368750000005</v>
      </c>
      <c r="F24" s="3">
        <f t="shared" si="8"/>
        <v>32521.368750000005</v>
      </c>
      <c r="G24" s="3">
        <f t="shared" si="8"/>
        <v>32521.368750000005</v>
      </c>
      <c r="H24" s="3">
        <f t="shared" si="8"/>
        <v>32521.368750000005</v>
      </c>
      <c r="I24" s="3">
        <f t="shared" si="8"/>
        <v>32521.368750000005</v>
      </c>
      <c r="J24" s="3">
        <f t="shared" si="8"/>
        <v>32521.368750000005</v>
      </c>
      <c r="K24" s="3">
        <f t="shared" si="8"/>
        <v>32521.368750000005</v>
      </c>
      <c r="L24" s="3">
        <f t="shared" si="8"/>
        <v>32521.368750000005</v>
      </c>
      <c r="M24" s="3">
        <f t="shared" si="8"/>
        <v>32521.368750000005</v>
      </c>
      <c r="N24" s="3">
        <f t="shared" si="8"/>
        <v>32521.368750000005</v>
      </c>
      <c r="O24" s="3">
        <f t="shared" si="8"/>
        <v>32521.368750000005</v>
      </c>
      <c r="P24" s="3">
        <f t="shared" si="8"/>
        <v>32521.368750000005</v>
      </c>
      <c r="Q24" s="3">
        <f t="shared" si="8"/>
        <v>32521.368750000005</v>
      </c>
      <c r="R24" s="3">
        <f t="shared" si="8"/>
        <v>32521.368750000005</v>
      </c>
      <c r="S24" s="3">
        <f t="shared" si="8"/>
        <v>32521.368750000005</v>
      </c>
      <c r="T24" s="3">
        <f t="shared" si="8"/>
        <v>32521.368750000005</v>
      </c>
      <c r="U24" s="3">
        <f t="shared" si="8"/>
        <v>32521.368750000005</v>
      </c>
      <c r="V24" s="3">
        <f t="shared" si="8"/>
        <v>32521.368750000005</v>
      </c>
      <c r="W24" s="3">
        <f t="shared" si="8"/>
        <v>32521.368750000005</v>
      </c>
      <c r="X24" s="3">
        <f t="shared" si="8"/>
        <v>32521.368750000005</v>
      </c>
      <c r="Y24" s="3">
        <f t="shared" si="8"/>
        <v>32521.368750000005</v>
      </c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</row>
    <row r="25" spans="1:49" s="48" customFormat="1" x14ac:dyDescent="0.35">
      <c r="A25" s="38" t="s">
        <v>136</v>
      </c>
      <c r="B25" s="3">
        <f>(45-0.06-0.71)*4545/24</f>
        <v>8376.0562499999996</v>
      </c>
      <c r="C25" s="3">
        <f t="shared" ref="C25:Y25" si="9">(45-0.06-0.71)*4545/24</f>
        <v>8376.0562499999996</v>
      </c>
      <c r="D25" s="3">
        <f t="shared" si="9"/>
        <v>8376.0562499999996</v>
      </c>
      <c r="E25" s="3">
        <f t="shared" si="9"/>
        <v>8376.0562499999996</v>
      </c>
      <c r="F25" s="3">
        <f t="shared" si="9"/>
        <v>8376.0562499999996</v>
      </c>
      <c r="G25" s="3">
        <f t="shared" si="9"/>
        <v>8376.0562499999996</v>
      </c>
      <c r="H25" s="3">
        <f t="shared" si="9"/>
        <v>8376.0562499999996</v>
      </c>
      <c r="I25" s="3">
        <f t="shared" si="9"/>
        <v>8376.0562499999996</v>
      </c>
      <c r="J25" s="3">
        <f t="shared" si="9"/>
        <v>8376.0562499999996</v>
      </c>
      <c r="K25" s="3">
        <f t="shared" si="9"/>
        <v>8376.0562499999996</v>
      </c>
      <c r="L25" s="3">
        <f t="shared" si="9"/>
        <v>8376.0562499999996</v>
      </c>
      <c r="M25" s="3">
        <f t="shared" si="9"/>
        <v>8376.0562499999996</v>
      </c>
      <c r="N25" s="3">
        <f t="shared" si="9"/>
        <v>8376.0562499999996</v>
      </c>
      <c r="O25" s="3">
        <f t="shared" si="9"/>
        <v>8376.0562499999996</v>
      </c>
      <c r="P25" s="3">
        <f t="shared" si="9"/>
        <v>8376.0562499999996</v>
      </c>
      <c r="Q25" s="3">
        <f t="shared" si="9"/>
        <v>8376.0562499999996</v>
      </c>
      <c r="R25" s="3">
        <f t="shared" si="9"/>
        <v>8376.0562499999996</v>
      </c>
      <c r="S25" s="3">
        <f t="shared" si="9"/>
        <v>8376.0562499999996</v>
      </c>
      <c r="T25" s="3">
        <f t="shared" si="9"/>
        <v>8376.0562499999996</v>
      </c>
      <c r="U25" s="3">
        <f t="shared" si="9"/>
        <v>8376.0562499999996</v>
      </c>
      <c r="V25" s="3">
        <f t="shared" si="9"/>
        <v>8376.0562499999996</v>
      </c>
      <c r="W25" s="3">
        <f t="shared" si="9"/>
        <v>8376.0562499999996</v>
      </c>
      <c r="X25" s="3">
        <f t="shared" si="9"/>
        <v>8376.0562499999996</v>
      </c>
      <c r="Y25" s="3">
        <f t="shared" si="9"/>
        <v>8376.0562499999996</v>
      </c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</row>
    <row r="26" spans="1:49" x14ac:dyDescent="0.35">
      <c r="A26" s="39" t="s">
        <v>117</v>
      </c>
      <c r="B26" s="3">
        <v>45057.993750000001</v>
      </c>
      <c r="C26" s="3">
        <v>45057.993750000001</v>
      </c>
      <c r="D26" s="3">
        <v>45057.993750000001</v>
      </c>
      <c r="E26" s="3">
        <v>45057.993750000001</v>
      </c>
      <c r="F26" s="3">
        <v>45057.993750000001</v>
      </c>
      <c r="G26" s="3">
        <v>45057.993750000001</v>
      </c>
      <c r="H26" s="3">
        <v>45057.993750000001</v>
      </c>
      <c r="I26" s="3">
        <v>45057.993750000001</v>
      </c>
      <c r="J26" s="3">
        <v>45057.993750000001</v>
      </c>
      <c r="K26" s="3">
        <v>45057.993750000001</v>
      </c>
      <c r="L26" s="3">
        <v>45057.993750000001</v>
      </c>
      <c r="M26" s="3">
        <v>45057.993750000001</v>
      </c>
      <c r="N26" s="3">
        <v>45057.993750000001</v>
      </c>
      <c r="O26" s="3">
        <v>45057.993750000001</v>
      </c>
      <c r="P26" s="3">
        <v>45057.993750000001</v>
      </c>
      <c r="Q26" s="3">
        <v>45057.993750000001</v>
      </c>
      <c r="R26" s="3">
        <v>45057.993750000001</v>
      </c>
      <c r="S26" s="3">
        <v>45057.993750000001</v>
      </c>
      <c r="T26" s="3">
        <v>45057.993750000001</v>
      </c>
      <c r="U26" s="3">
        <v>45057.993750000001</v>
      </c>
      <c r="V26" s="3">
        <v>45057.993750000001</v>
      </c>
      <c r="W26" s="3">
        <v>45057.993750000001</v>
      </c>
      <c r="X26" s="3">
        <v>45057.993750000001</v>
      </c>
      <c r="Y26">
        <v>45057.993750000001</v>
      </c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</row>
    <row r="27" spans="1:49" x14ac:dyDescent="0.35">
      <c r="A27" s="39" t="s">
        <v>124</v>
      </c>
      <c r="B27" s="3">
        <v>38253.75</v>
      </c>
      <c r="C27" s="3">
        <v>38253.75</v>
      </c>
      <c r="D27" s="3">
        <v>38253.75</v>
      </c>
      <c r="E27" s="3">
        <v>38253.75</v>
      </c>
      <c r="F27" s="3">
        <v>38253.75</v>
      </c>
      <c r="G27" s="3">
        <v>38253.75</v>
      </c>
      <c r="H27" s="3">
        <v>38253.75</v>
      </c>
      <c r="I27" s="3">
        <v>38253.75</v>
      </c>
      <c r="J27" s="3">
        <v>38253.75</v>
      </c>
      <c r="K27" s="3">
        <v>38253.75</v>
      </c>
      <c r="L27" s="3">
        <v>38253.75</v>
      </c>
      <c r="M27" s="3">
        <v>38253.75</v>
      </c>
      <c r="N27" s="3">
        <v>38253.75</v>
      </c>
      <c r="O27" s="3">
        <v>38253.75</v>
      </c>
      <c r="P27" s="3">
        <v>38253.75</v>
      </c>
      <c r="Q27" s="3">
        <v>38253.75</v>
      </c>
      <c r="R27" s="3">
        <v>38253.75</v>
      </c>
      <c r="S27" s="3">
        <v>38253.75</v>
      </c>
      <c r="T27" s="3">
        <v>38253.75</v>
      </c>
      <c r="U27" s="3">
        <v>38253.75</v>
      </c>
      <c r="V27" s="3">
        <v>38253.75</v>
      </c>
      <c r="W27" s="3">
        <v>38253.75</v>
      </c>
      <c r="X27" s="3">
        <v>38253.75</v>
      </c>
      <c r="Y27">
        <v>38253.75</v>
      </c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</row>
    <row r="28" spans="1:49" x14ac:dyDescent="0.35">
      <c r="A28" s="39" t="s">
        <v>131</v>
      </c>
      <c r="B28" s="3">
        <f>(170-1.6-2.67)*4545/24</f>
        <v>31385.118750000005</v>
      </c>
      <c r="C28" s="3">
        <f t="shared" ref="C28:Y28" si="10">(170-1.6-2.67)*4545/24</f>
        <v>31385.118750000005</v>
      </c>
      <c r="D28" s="3">
        <f t="shared" si="10"/>
        <v>31385.118750000005</v>
      </c>
      <c r="E28" s="3">
        <f t="shared" si="10"/>
        <v>31385.118750000005</v>
      </c>
      <c r="F28" s="3">
        <f t="shared" si="10"/>
        <v>31385.118750000005</v>
      </c>
      <c r="G28" s="3">
        <f t="shared" si="10"/>
        <v>31385.118750000005</v>
      </c>
      <c r="H28" s="3">
        <f t="shared" si="10"/>
        <v>31385.118750000005</v>
      </c>
      <c r="I28" s="3">
        <f t="shared" si="10"/>
        <v>31385.118750000005</v>
      </c>
      <c r="J28" s="3">
        <f t="shared" si="10"/>
        <v>31385.118750000005</v>
      </c>
      <c r="K28" s="3">
        <f t="shared" si="10"/>
        <v>31385.118750000005</v>
      </c>
      <c r="L28" s="3">
        <f t="shared" si="10"/>
        <v>31385.118750000005</v>
      </c>
      <c r="M28" s="3">
        <f t="shared" si="10"/>
        <v>31385.118750000005</v>
      </c>
      <c r="N28" s="3">
        <f t="shared" si="10"/>
        <v>31385.118750000005</v>
      </c>
      <c r="O28" s="3">
        <f t="shared" si="10"/>
        <v>31385.118750000005</v>
      </c>
      <c r="P28" s="3">
        <f t="shared" si="10"/>
        <v>31385.118750000005</v>
      </c>
      <c r="Q28" s="3">
        <f t="shared" si="10"/>
        <v>31385.118750000005</v>
      </c>
      <c r="R28" s="3">
        <f t="shared" si="10"/>
        <v>31385.118750000005</v>
      </c>
      <c r="S28" s="3">
        <f t="shared" si="10"/>
        <v>31385.118750000005</v>
      </c>
      <c r="T28" s="3">
        <f t="shared" si="10"/>
        <v>31385.118750000005</v>
      </c>
      <c r="U28" s="3">
        <f t="shared" si="10"/>
        <v>31385.118750000005</v>
      </c>
      <c r="V28" s="3">
        <f t="shared" si="10"/>
        <v>31385.118750000005</v>
      </c>
      <c r="W28" s="3">
        <f t="shared" si="10"/>
        <v>31385.118750000005</v>
      </c>
      <c r="X28" s="3">
        <f t="shared" si="10"/>
        <v>31385.118750000005</v>
      </c>
      <c r="Y28" s="3">
        <f t="shared" si="10"/>
        <v>31385.118750000005</v>
      </c>
    </row>
    <row r="29" spans="1:49" x14ac:dyDescent="0.35">
      <c r="A29" s="39" t="s">
        <v>137</v>
      </c>
      <c r="B29" s="3">
        <f>(39.9-0.06-0.71)*4545/24</f>
        <v>7410.2437499999987</v>
      </c>
      <c r="C29" s="3">
        <f t="shared" ref="C29:Y29" si="11">(39.9-0.06-0.71)*4545/24</f>
        <v>7410.2437499999987</v>
      </c>
      <c r="D29" s="3">
        <f t="shared" si="11"/>
        <v>7410.2437499999987</v>
      </c>
      <c r="E29" s="3">
        <f t="shared" si="11"/>
        <v>7410.2437499999987</v>
      </c>
      <c r="F29" s="3">
        <f t="shared" si="11"/>
        <v>7410.2437499999987</v>
      </c>
      <c r="G29" s="3">
        <f t="shared" si="11"/>
        <v>7410.2437499999987</v>
      </c>
      <c r="H29" s="3">
        <f t="shared" si="11"/>
        <v>7410.2437499999987</v>
      </c>
      <c r="I29" s="3">
        <f t="shared" si="11"/>
        <v>7410.2437499999987</v>
      </c>
      <c r="J29" s="3">
        <f t="shared" si="11"/>
        <v>7410.2437499999987</v>
      </c>
      <c r="K29" s="3">
        <f t="shared" si="11"/>
        <v>7410.2437499999987</v>
      </c>
      <c r="L29" s="3">
        <f t="shared" si="11"/>
        <v>7410.2437499999987</v>
      </c>
      <c r="M29" s="3">
        <f t="shared" si="11"/>
        <v>7410.2437499999987</v>
      </c>
      <c r="N29" s="3">
        <f t="shared" si="11"/>
        <v>7410.2437499999987</v>
      </c>
      <c r="O29" s="3">
        <f t="shared" si="11"/>
        <v>7410.2437499999987</v>
      </c>
      <c r="P29" s="3">
        <f t="shared" si="11"/>
        <v>7410.2437499999987</v>
      </c>
      <c r="Q29" s="3">
        <f t="shared" si="11"/>
        <v>7410.2437499999987</v>
      </c>
      <c r="R29" s="3">
        <f t="shared" si="11"/>
        <v>7410.2437499999987</v>
      </c>
      <c r="S29" s="3">
        <f t="shared" si="11"/>
        <v>7410.2437499999987</v>
      </c>
      <c r="T29" s="3">
        <f t="shared" si="11"/>
        <v>7410.2437499999987</v>
      </c>
      <c r="U29" s="3">
        <f t="shared" si="11"/>
        <v>7410.2437499999987</v>
      </c>
      <c r="V29" s="3">
        <f t="shared" si="11"/>
        <v>7410.2437499999987</v>
      </c>
      <c r="W29" s="3">
        <f t="shared" si="11"/>
        <v>7410.2437499999987</v>
      </c>
      <c r="X29" s="3">
        <f t="shared" si="11"/>
        <v>7410.2437499999987</v>
      </c>
      <c r="Y29" s="3">
        <f t="shared" si="11"/>
        <v>7410.2437499999987</v>
      </c>
    </row>
    <row r="30" spans="1:49" x14ac:dyDescent="0.3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5"/>
    </row>
    <row r="31" spans="1:49" x14ac:dyDescent="0.3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5"/>
    </row>
    <row r="32" spans="1:49" x14ac:dyDescent="0.3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5"/>
    </row>
    <row r="33" spans="2:25" x14ac:dyDescent="0.3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5"/>
    </row>
    <row r="34" spans="2:25" x14ac:dyDescent="0.3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5"/>
    </row>
    <row r="35" spans="2:25" x14ac:dyDescent="0.3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5"/>
    </row>
    <row r="36" spans="2:25" x14ac:dyDescent="0.3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5"/>
    </row>
    <row r="37" spans="2:25" x14ac:dyDescent="0.3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5"/>
    </row>
    <row r="38" spans="2:25" x14ac:dyDescent="0.3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5"/>
    </row>
    <row r="39" spans="2:25" x14ac:dyDescent="0.3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2:25" x14ac:dyDescent="0.3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2:25" x14ac:dyDescent="0.3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</sheetData>
  <customSheetViews>
    <customSheetView guid="{164F6360-D646-4419-90D0-DC921EA06B9A}">
      <selection activeCell="B3" sqref="B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A57"/>
  <sheetViews>
    <sheetView zoomScale="60" zoomScaleNormal="6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43" sqref="A43"/>
    </sheetView>
  </sheetViews>
  <sheetFormatPr defaultRowHeight="14.5" x14ac:dyDescent="0.35"/>
  <cols>
    <col min="1" max="1" width="37.26953125" bestFit="1" customWidth="1"/>
    <col min="2" max="2" width="10.81640625" bestFit="1" customWidth="1"/>
    <col min="3" max="3" width="10.81640625" style="48" customWidth="1"/>
    <col min="4" max="4" width="12.453125" bestFit="1" customWidth="1"/>
    <col min="5" max="5" width="14.26953125" bestFit="1" customWidth="1"/>
    <col min="6" max="6" width="15.7265625" bestFit="1" customWidth="1"/>
    <col min="7" max="7" width="10.54296875" bestFit="1" customWidth="1"/>
    <col min="8" max="8" width="11.54296875" bestFit="1" customWidth="1"/>
    <col min="9" max="9" width="7" bestFit="1" customWidth="1"/>
    <col min="10" max="10" width="13.26953125" bestFit="1" customWidth="1"/>
    <col min="11" max="11" width="12.1796875" bestFit="1" customWidth="1"/>
    <col min="12" max="12" width="11.54296875" bestFit="1" customWidth="1"/>
    <col min="13" max="13" width="12.1796875" bestFit="1" customWidth="1"/>
    <col min="14" max="14" width="13.26953125" bestFit="1" customWidth="1"/>
    <col min="15" max="15" width="8" bestFit="1" customWidth="1"/>
    <col min="16" max="16" width="6.54296875" bestFit="1" customWidth="1"/>
    <col min="17" max="17" width="8.54296875" bestFit="1" customWidth="1"/>
    <col min="18" max="18" width="6.7265625" customWidth="1"/>
    <col min="19" max="19" width="8.54296875" bestFit="1" customWidth="1"/>
    <col min="20" max="20" width="6.7265625" customWidth="1"/>
    <col min="21" max="21" width="8.54296875" bestFit="1" customWidth="1"/>
    <col min="22" max="24" width="6.7265625" customWidth="1"/>
    <col min="25" max="25" width="8.54296875" bestFit="1" customWidth="1"/>
    <col min="26" max="26" width="6.7265625" customWidth="1"/>
  </cols>
  <sheetData>
    <row r="1" spans="1:27" s="25" customFormat="1" ht="49.5" customHeight="1" x14ac:dyDescent="0.35">
      <c r="B1" s="32" t="s">
        <v>1</v>
      </c>
      <c r="C1" s="74" t="s">
        <v>104</v>
      </c>
      <c r="D1" s="32" t="s">
        <v>12</v>
      </c>
      <c r="E1" s="32" t="s">
        <v>13</v>
      </c>
      <c r="F1" s="32" t="s">
        <v>11</v>
      </c>
      <c r="G1" s="32" t="s">
        <v>9</v>
      </c>
      <c r="H1" s="104" t="s">
        <v>10</v>
      </c>
      <c r="I1" s="104"/>
      <c r="J1" s="104" t="s">
        <v>14</v>
      </c>
      <c r="K1" s="104"/>
      <c r="L1" s="104" t="s">
        <v>2</v>
      </c>
      <c r="M1" s="104"/>
      <c r="N1" s="104" t="s">
        <v>3</v>
      </c>
      <c r="O1" s="104"/>
      <c r="P1" s="33"/>
      <c r="Q1" s="33"/>
      <c r="R1" s="33"/>
      <c r="X1" s="30"/>
      <c r="Y1" s="30"/>
      <c r="Z1" s="30"/>
      <c r="AA1" s="30"/>
    </row>
    <row r="2" spans="1:27" s="25" customFormat="1" x14ac:dyDescent="0.35">
      <c r="A2" s="72" t="s">
        <v>254</v>
      </c>
      <c r="B2" s="71">
        <v>0.17649999999999999</v>
      </c>
      <c r="C2" s="71"/>
      <c r="D2" s="32"/>
      <c r="E2" s="32"/>
      <c r="F2" s="32"/>
      <c r="G2" s="32"/>
      <c r="H2" s="70"/>
      <c r="I2" s="70"/>
      <c r="J2" s="70"/>
      <c r="K2" s="70"/>
      <c r="L2" s="70"/>
      <c r="M2" s="70"/>
      <c r="N2" s="70"/>
      <c r="O2" s="70"/>
      <c r="P2" s="33"/>
      <c r="Q2" s="33"/>
      <c r="R2" s="33"/>
      <c r="X2" s="30"/>
      <c r="Y2" s="30"/>
      <c r="Z2" s="30"/>
      <c r="AA2" s="30"/>
    </row>
    <row r="3" spans="1:27" x14ac:dyDescent="0.35">
      <c r="A3" s="19" t="s">
        <v>172</v>
      </c>
      <c r="B3" s="35">
        <v>0.77880000000000005</v>
      </c>
      <c r="C3" s="35"/>
      <c r="D3" s="3"/>
      <c r="E3" s="3">
        <v>4000</v>
      </c>
      <c r="F3" s="21">
        <v>17000</v>
      </c>
      <c r="G3" s="34">
        <v>12000</v>
      </c>
      <c r="H3" s="3">
        <f>I3/100*313.3*4545</f>
        <v>569579.4</v>
      </c>
      <c r="I3" s="3">
        <f>6.4/16*100</f>
        <v>40</v>
      </c>
      <c r="J3" s="3">
        <f>K3/100*313.3*4545</f>
        <v>1139158.8</v>
      </c>
      <c r="K3" s="73">
        <v>80</v>
      </c>
      <c r="L3" s="21">
        <f>M3/100*313.3*4545</f>
        <v>1139158.8</v>
      </c>
      <c r="M3" s="73">
        <v>80</v>
      </c>
      <c r="N3" s="3">
        <f>O3/100*313.3*4545</f>
        <v>1281553.6500000001</v>
      </c>
      <c r="O3" s="3">
        <f>14.4/16*100</f>
        <v>90</v>
      </c>
      <c r="P3" s="3"/>
      <c r="Q3" s="3"/>
      <c r="R3" s="3"/>
      <c r="X3" s="31"/>
      <c r="Y3" s="103"/>
      <c r="Z3" s="103"/>
      <c r="AA3" s="20"/>
    </row>
    <row r="4" spans="1:27" x14ac:dyDescent="0.35">
      <c r="A4" s="23" t="s">
        <v>175</v>
      </c>
      <c r="B4" s="35">
        <v>0.47489999999999999</v>
      </c>
      <c r="C4" s="35"/>
      <c r="D4" s="3"/>
      <c r="G4" s="34">
        <v>8500</v>
      </c>
      <c r="H4" s="3">
        <f>I4/100*10*4545</f>
        <v>18180</v>
      </c>
      <c r="I4" s="3">
        <f>2/5*100</f>
        <v>40</v>
      </c>
      <c r="J4" s="3">
        <f>K4/100*10*4545</f>
        <v>27270</v>
      </c>
      <c r="K4" s="21">
        <v>60</v>
      </c>
      <c r="L4" s="21">
        <f>M4/100*10*4545</f>
        <v>27270</v>
      </c>
      <c r="M4" s="21">
        <v>60</v>
      </c>
      <c r="N4" s="3">
        <f>O4/100*10*4545</f>
        <v>40905</v>
      </c>
      <c r="O4" s="3">
        <f>4.5/5*100</f>
        <v>90</v>
      </c>
      <c r="P4" s="3"/>
      <c r="Q4" s="3"/>
      <c r="R4" s="3"/>
      <c r="X4" s="20"/>
      <c r="Y4" s="20"/>
      <c r="Z4" s="20"/>
      <c r="AA4" s="20"/>
    </row>
    <row r="5" spans="1:27" x14ac:dyDescent="0.35">
      <c r="A5" t="s">
        <v>100</v>
      </c>
      <c r="B5" s="35">
        <f>2273*216/(2273*216+378*60+1278*114)*B4</f>
        <v>0.3536274201474201</v>
      </c>
      <c r="C5" s="35"/>
      <c r="D5" s="3"/>
      <c r="E5" s="3">
        <v>2300</v>
      </c>
      <c r="F5" s="21">
        <v>16500</v>
      </c>
      <c r="G5" s="3"/>
      <c r="H5" s="3"/>
      <c r="I5" s="3"/>
      <c r="J5" s="3"/>
      <c r="K5" s="21"/>
      <c r="L5" s="21"/>
      <c r="M5" s="21"/>
      <c r="N5" s="3"/>
      <c r="O5" s="3"/>
      <c r="P5" s="3"/>
      <c r="Q5" s="3"/>
      <c r="R5" s="3"/>
      <c r="X5" s="20"/>
      <c r="Y5" s="20"/>
      <c r="Z5" s="20"/>
      <c r="AA5" s="20"/>
    </row>
    <row r="6" spans="1:27" x14ac:dyDescent="0.35">
      <c r="A6" s="13" t="s">
        <v>100</v>
      </c>
      <c r="B6" s="35">
        <f>1278*114/(2273*216+378*60+1278*114)*B4</f>
        <v>0.10493695331695331</v>
      </c>
      <c r="C6" s="35"/>
      <c r="D6" s="3"/>
      <c r="E6" s="3"/>
      <c r="F6" s="3"/>
      <c r="G6" s="3"/>
      <c r="H6" s="3"/>
      <c r="I6" s="3"/>
      <c r="J6" s="3"/>
      <c r="K6" s="21"/>
      <c r="L6" s="21"/>
      <c r="M6" s="21"/>
      <c r="N6" s="3"/>
      <c r="O6" s="3"/>
      <c r="P6" s="3"/>
      <c r="Q6" s="3"/>
      <c r="R6" s="3"/>
      <c r="X6" s="20"/>
      <c r="Y6" s="20"/>
      <c r="Z6" s="20"/>
      <c r="AA6" s="20"/>
    </row>
    <row r="7" spans="1:27" x14ac:dyDescent="0.35">
      <c r="A7" s="24" t="s">
        <v>173</v>
      </c>
      <c r="B7" s="35">
        <f>378*60/(2273*216+378*60+1278*114)*B4</f>
        <v>1.6335626535626535E-2</v>
      </c>
      <c r="C7" s="35"/>
      <c r="D7" s="3"/>
      <c r="E7" s="3">
        <v>500</v>
      </c>
      <c r="F7" s="3">
        <v>1280</v>
      </c>
      <c r="G7" s="3"/>
      <c r="H7" s="3">
        <f>I7/100*5.2*4545</f>
        <v>9453.6</v>
      </c>
      <c r="I7" s="3">
        <v>40</v>
      </c>
      <c r="J7" s="3">
        <f>K7/100*5.2*4545</f>
        <v>14180.4</v>
      </c>
      <c r="K7" s="21">
        <v>60</v>
      </c>
      <c r="L7" s="21">
        <f>M7/100*5.2*4545</f>
        <v>14180.4</v>
      </c>
      <c r="M7" s="21">
        <v>60</v>
      </c>
      <c r="N7" s="3">
        <f>O7/100*5.2*4545</f>
        <v>21270.600000000002</v>
      </c>
      <c r="O7" s="3">
        <v>90</v>
      </c>
      <c r="P7" s="3"/>
      <c r="Q7" s="3"/>
      <c r="R7" s="3"/>
      <c r="X7" s="20"/>
      <c r="Y7" s="20"/>
      <c r="Z7" s="20"/>
      <c r="AA7" s="20"/>
    </row>
    <row r="8" spans="1:27" x14ac:dyDescent="0.35">
      <c r="A8" s="24" t="s">
        <v>174</v>
      </c>
      <c r="B8" s="35">
        <v>0.46189999999999998</v>
      </c>
      <c r="C8" s="35"/>
      <c r="D8" s="3">
        <v>5000</v>
      </c>
      <c r="E8" s="3"/>
      <c r="F8" s="3"/>
      <c r="G8" s="3"/>
      <c r="H8" s="3">
        <f>I8/100*20*4545</f>
        <v>36360</v>
      </c>
      <c r="I8" s="3">
        <v>40</v>
      </c>
      <c r="J8" s="3">
        <f>K8/100*(20)*4545</f>
        <v>54540</v>
      </c>
      <c r="K8" s="21">
        <v>60</v>
      </c>
      <c r="L8" s="21">
        <f>M8/100*(20)*4545</f>
        <v>54540</v>
      </c>
      <c r="M8" s="21">
        <v>60</v>
      </c>
      <c r="N8" s="3">
        <f>O8/100*20*4545</f>
        <v>81425.915492957749</v>
      </c>
      <c r="O8" s="3">
        <f>15.9/17.75*100</f>
        <v>89.577464788732399</v>
      </c>
      <c r="P8" s="3"/>
      <c r="Q8" s="3"/>
      <c r="R8" s="3"/>
      <c r="X8" s="20"/>
      <c r="Y8" s="20"/>
      <c r="Z8" s="20"/>
      <c r="AA8" s="20"/>
    </row>
    <row r="9" spans="1:27" x14ac:dyDescent="0.35">
      <c r="A9" s="24" t="s">
        <v>176</v>
      </c>
      <c r="B9" s="35">
        <f>B5</f>
        <v>0.3536274201474201</v>
      </c>
      <c r="C9" s="35"/>
      <c r="D9" s="3">
        <v>8000</v>
      </c>
      <c r="E9" s="3"/>
      <c r="F9" s="3">
        <v>9000</v>
      </c>
      <c r="G9" s="3"/>
      <c r="H9" s="3">
        <f>I9/100*40*4545</f>
        <v>72720</v>
      </c>
      <c r="I9" s="3">
        <f>7.1/17.75*100</f>
        <v>40</v>
      </c>
      <c r="J9" s="3">
        <f>K9/100*(40)*4545</f>
        <v>109080</v>
      </c>
      <c r="K9" s="21">
        <v>60</v>
      </c>
      <c r="L9" s="21">
        <f>M9/100*(40)*4545</f>
        <v>109080</v>
      </c>
      <c r="M9" s="21">
        <v>60</v>
      </c>
      <c r="N9" s="3">
        <f>O9/100*40*4545</f>
        <v>162851.8309859155</v>
      </c>
      <c r="O9" s="3">
        <f>15.9/17.75*100</f>
        <v>89.577464788732399</v>
      </c>
      <c r="P9" s="3"/>
      <c r="Q9" s="3"/>
      <c r="R9" s="3"/>
      <c r="X9" s="20"/>
      <c r="Y9" s="20"/>
      <c r="Z9" s="20"/>
      <c r="AA9" s="20"/>
    </row>
    <row r="10" spans="1:27" x14ac:dyDescent="0.35">
      <c r="A10" s="22" t="s">
        <v>176</v>
      </c>
      <c r="B10" s="35">
        <f>2.82*1000*219.969/1000000</f>
        <v>0.62031258</v>
      </c>
      <c r="C10" s="35"/>
      <c r="D10" s="3"/>
      <c r="E10" s="3"/>
      <c r="F10" s="21"/>
      <c r="G10" s="3"/>
      <c r="H10" s="3">
        <f>I10/100*10*4545</f>
        <v>18180</v>
      </c>
      <c r="I10" s="3">
        <f>2/5*100</f>
        <v>40</v>
      </c>
      <c r="J10" s="3">
        <f>K10/100*10*4545</f>
        <v>27270</v>
      </c>
      <c r="K10" s="21">
        <v>60</v>
      </c>
      <c r="L10" s="21">
        <f>M10/100*10*4545</f>
        <v>27270</v>
      </c>
      <c r="M10" s="21">
        <v>60</v>
      </c>
      <c r="N10" s="3">
        <f>O10/100*10*4545</f>
        <v>40905</v>
      </c>
      <c r="O10" s="3">
        <f>4.5/5*100</f>
        <v>90</v>
      </c>
      <c r="P10" s="3"/>
      <c r="Q10" s="3"/>
      <c r="R10" s="3"/>
      <c r="X10" s="20"/>
      <c r="Y10" s="20"/>
      <c r="Z10" s="20"/>
      <c r="AA10" s="20"/>
    </row>
    <row r="11" spans="1:27" x14ac:dyDescent="0.35">
      <c r="A11" s="26" t="s">
        <v>177</v>
      </c>
      <c r="B11" s="35">
        <f>2273*228.6/(2273*228.6+378*60)*B10</f>
        <v>0.59436936439677224</v>
      </c>
      <c r="C11" s="35"/>
      <c r="D11" s="3"/>
      <c r="E11" s="3">
        <v>2000</v>
      </c>
      <c r="F11" s="21">
        <v>13000</v>
      </c>
      <c r="G11" s="34">
        <v>9000</v>
      </c>
      <c r="H11" s="3"/>
      <c r="I11" s="3"/>
      <c r="J11" s="3"/>
      <c r="K11" s="21"/>
      <c r="L11" s="21"/>
      <c r="M11" s="21"/>
      <c r="N11" s="3"/>
      <c r="O11" s="3"/>
      <c r="P11" s="3"/>
      <c r="Q11" s="3"/>
      <c r="R11" s="3"/>
      <c r="X11" s="20"/>
      <c r="Y11" s="20"/>
      <c r="Z11" s="20"/>
      <c r="AA11" s="20"/>
    </row>
    <row r="12" spans="1:27" x14ac:dyDescent="0.35">
      <c r="A12" s="27" t="s">
        <v>178</v>
      </c>
      <c r="B12" s="35">
        <f>378*60/(2273*228.6+378*60)*B10</f>
        <v>2.5943215603227657E-2</v>
      </c>
      <c r="C12" s="35"/>
      <c r="D12" s="3"/>
      <c r="E12" s="3"/>
      <c r="F12" s="21"/>
      <c r="G12" s="3"/>
      <c r="H12" s="3"/>
      <c r="I12" s="3"/>
      <c r="J12" s="3"/>
      <c r="K12" s="21"/>
      <c r="L12" s="21"/>
      <c r="M12" s="21"/>
      <c r="N12" s="3"/>
      <c r="O12" s="3"/>
      <c r="P12" s="3"/>
      <c r="Q12" s="3"/>
      <c r="R12" s="3"/>
      <c r="X12" s="20"/>
      <c r="Y12" s="20"/>
      <c r="Z12" s="20"/>
      <c r="AA12" s="20"/>
    </row>
    <row r="13" spans="1:27" x14ac:dyDescent="0.35">
      <c r="A13" s="26" t="s">
        <v>179</v>
      </c>
      <c r="B13" s="35">
        <f>8.9*1000*219.969/1000000</f>
        <v>1.9577240999999999</v>
      </c>
      <c r="C13" s="35"/>
      <c r="D13" s="3"/>
      <c r="E13" s="3">
        <v>5500</v>
      </c>
      <c r="F13" s="28">
        <v>44000</v>
      </c>
      <c r="G13" s="3"/>
      <c r="H13" s="3">
        <f>I13/100*235.4*4545</f>
        <v>426644.44785276073</v>
      </c>
      <c r="I13" s="3">
        <f>6.5/16.3*100</f>
        <v>39.877300613496928</v>
      </c>
      <c r="J13" s="3">
        <f>K13/100*235.4*4545</f>
        <v>855914.40000000014</v>
      </c>
      <c r="K13" s="73">
        <v>80</v>
      </c>
      <c r="L13" s="21">
        <f>M13/100*235.4*4545</f>
        <v>855914.40000000014</v>
      </c>
      <c r="M13" s="73">
        <v>80</v>
      </c>
      <c r="N13" s="3">
        <f>O13/100*235.4*4545</f>
        <v>964872.82822085882</v>
      </c>
      <c r="O13" s="3">
        <f>14.7/16.3*100</f>
        <v>90.184049079754587</v>
      </c>
      <c r="P13" s="3"/>
      <c r="Q13" s="3"/>
      <c r="R13" s="3"/>
      <c r="X13" s="20"/>
      <c r="Y13" s="20"/>
      <c r="Z13" s="20"/>
      <c r="AA13" s="20"/>
    </row>
    <row r="14" spans="1:27" x14ac:dyDescent="0.35">
      <c r="A14" s="27" t="s">
        <v>255</v>
      </c>
      <c r="B14" s="35">
        <f>(9.9-8.9)*1000*219.969/1000000</f>
        <v>0.219969</v>
      </c>
      <c r="C14" s="35"/>
      <c r="D14" s="3"/>
      <c r="E14" s="3"/>
      <c r="F14" s="21"/>
      <c r="G14" s="3"/>
      <c r="H14" s="3"/>
      <c r="I14" s="3"/>
      <c r="J14" s="3"/>
      <c r="K14" s="21"/>
      <c r="L14" s="21"/>
      <c r="M14" s="21"/>
      <c r="N14" s="3"/>
      <c r="O14" s="3"/>
      <c r="P14" s="3"/>
      <c r="Q14" s="3"/>
      <c r="R14" s="3"/>
      <c r="X14" s="20"/>
      <c r="Y14" s="20"/>
      <c r="Z14" s="20"/>
      <c r="AA14" s="20"/>
    </row>
    <row r="15" spans="1:27" x14ac:dyDescent="0.35">
      <c r="A15" s="29" t="s">
        <v>181</v>
      </c>
      <c r="B15" s="35"/>
      <c r="C15" s="35"/>
      <c r="D15" s="3"/>
      <c r="E15" s="3"/>
      <c r="F15" s="3"/>
      <c r="G15" s="3"/>
      <c r="H15" s="3">
        <f>I15/100*20*4545</f>
        <v>36360</v>
      </c>
      <c r="I15" s="3">
        <f>7.1/17.75*100</f>
        <v>40</v>
      </c>
      <c r="J15" s="3">
        <f>K15/100*(20)*4545</f>
        <v>54540</v>
      </c>
      <c r="K15" s="21">
        <v>60</v>
      </c>
      <c r="L15" s="21">
        <f>M15/100*(20)*4545</f>
        <v>54540</v>
      </c>
      <c r="M15" s="21">
        <v>60</v>
      </c>
      <c r="N15" s="3">
        <f>O15/100*20*4545</f>
        <v>81425.915492957749</v>
      </c>
      <c r="O15" s="3">
        <f>15.9/17.75*100</f>
        <v>89.577464788732399</v>
      </c>
      <c r="P15" s="3"/>
      <c r="Q15" s="3"/>
      <c r="R15" s="3"/>
      <c r="X15" s="20"/>
      <c r="Y15" s="20"/>
      <c r="Z15" s="20"/>
      <c r="AA15" s="20"/>
    </row>
    <row r="16" spans="1:27" x14ac:dyDescent="0.35">
      <c r="A16" s="29" t="s">
        <v>182</v>
      </c>
      <c r="B16" s="35"/>
      <c r="C16" s="35"/>
      <c r="D16" s="3"/>
      <c r="E16" s="3"/>
      <c r="F16" s="3"/>
      <c r="G16" s="3"/>
      <c r="H16" s="3">
        <f>I16/100*10*4545</f>
        <v>18244.014084507045</v>
      </c>
      <c r="I16" s="3">
        <f>5.7/14.2*100</f>
        <v>40.140845070422536</v>
      </c>
      <c r="J16" s="3">
        <f>K16/100*(10)*4545</f>
        <v>27270</v>
      </c>
      <c r="K16" s="21">
        <v>60</v>
      </c>
      <c r="L16" s="21">
        <f>M16/100*(10)*4545</f>
        <v>27270</v>
      </c>
      <c r="M16" s="21">
        <v>60</v>
      </c>
      <c r="N16" s="3">
        <f>O16/100*10*4545</f>
        <v>40969.014084507049</v>
      </c>
      <c r="O16" s="3">
        <f>12.8/14.2*100</f>
        <v>90.140845070422543</v>
      </c>
      <c r="P16" s="3"/>
      <c r="Q16" s="3"/>
      <c r="R16" s="3"/>
      <c r="X16" s="20"/>
      <c r="Y16" s="20"/>
      <c r="Z16" s="20"/>
      <c r="AA16" s="20"/>
    </row>
    <row r="17" spans="1:27" x14ac:dyDescent="0.35">
      <c r="A17" s="29" t="s">
        <v>183</v>
      </c>
      <c r="B17" s="35"/>
      <c r="C17" s="35"/>
      <c r="D17" s="3"/>
      <c r="E17" s="3"/>
      <c r="F17" s="3"/>
      <c r="G17" s="3"/>
      <c r="H17" s="3">
        <f>I17/100*5*4545</f>
        <v>9090</v>
      </c>
      <c r="I17" s="3">
        <f>0.6/1.5*100</f>
        <v>40</v>
      </c>
      <c r="J17" s="3">
        <f>K17/100*(5)*4545</f>
        <v>13635</v>
      </c>
      <c r="K17" s="21">
        <v>60</v>
      </c>
      <c r="L17" s="21">
        <f>M17/100*(5)*4545</f>
        <v>13635</v>
      </c>
      <c r="M17" s="21">
        <v>60</v>
      </c>
      <c r="N17" s="3">
        <f>O17/100*5*4545</f>
        <v>20452.5</v>
      </c>
      <c r="O17" s="3">
        <f>1.35/1.5*100</f>
        <v>90</v>
      </c>
      <c r="P17" s="3"/>
      <c r="Q17" s="3"/>
      <c r="R17" s="3"/>
      <c r="X17" s="20"/>
      <c r="Y17" s="20"/>
      <c r="Z17" s="20"/>
      <c r="AA17" s="20"/>
    </row>
    <row r="18" spans="1:27" x14ac:dyDescent="0.35">
      <c r="A18" s="26" t="s">
        <v>185</v>
      </c>
      <c r="B18" s="35"/>
      <c r="C18" s="35"/>
      <c r="D18" s="3"/>
      <c r="E18" s="3"/>
      <c r="F18" s="3"/>
      <c r="G18" s="3"/>
      <c r="H18" s="3">
        <f>I18/100*20*4545</f>
        <v>36360</v>
      </c>
      <c r="I18" s="3">
        <f>2/5*100</f>
        <v>40</v>
      </c>
      <c r="J18" s="3">
        <f>K18/100*(20)*4545</f>
        <v>54540</v>
      </c>
      <c r="K18" s="21">
        <v>60</v>
      </c>
      <c r="L18" s="21">
        <f>M18/100*(20)*4545</f>
        <v>54540</v>
      </c>
      <c r="M18" s="21">
        <v>60</v>
      </c>
      <c r="N18" s="3">
        <f>O18/100*20*4545</f>
        <v>81810</v>
      </c>
      <c r="O18" s="3">
        <f>4.5/5*100</f>
        <v>90</v>
      </c>
      <c r="P18" s="3"/>
      <c r="Q18" s="3"/>
      <c r="R18" s="3"/>
      <c r="X18" s="20"/>
      <c r="Y18" s="20"/>
      <c r="Z18" s="20"/>
      <c r="AA18" s="20"/>
    </row>
    <row r="19" spans="1:27" x14ac:dyDescent="0.35">
      <c r="A19" s="26" t="s">
        <v>186</v>
      </c>
      <c r="B19" s="35">
        <f>2.2*1000*219.969/1000000</f>
        <v>0.48393179999999997</v>
      </c>
      <c r="C19" s="35"/>
      <c r="D19" s="3"/>
      <c r="E19" s="3">
        <v>3000</v>
      </c>
      <c r="F19" s="21">
        <v>16000</v>
      </c>
      <c r="G19" s="3"/>
      <c r="H19" s="3">
        <f>I19/100*50*4545</f>
        <v>89953.124999999985</v>
      </c>
      <c r="I19" s="3">
        <f>7.6/19.2*100</f>
        <v>39.583333333333329</v>
      </c>
      <c r="J19" s="3">
        <f>K19/100*(50)*4545</f>
        <v>136350</v>
      </c>
      <c r="K19" s="21">
        <v>60</v>
      </c>
      <c r="L19" s="21">
        <f>M19/100*(50)*4545</f>
        <v>136350</v>
      </c>
      <c r="M19" s="21">
        <v>60</v>
      </c>
      <c r="N19" s="3">
        <f>O19/100*(50)*4545</f>
        <v>204761.71875</v>
      </c>
      <c r="O19" s="3">
        <f>17.3/19.2*100</f>
        <v>90.104166666666671</v>
      </c>
      <c r="P19" s="3"/>
      <c r="Q19" s="3"/>
      <c r="R19" s="3"/>
      <c r="X19" s="20"/>
      <c r="Y19" s="20"/>
      <c r="Z19" s="20"/>
      <c r="AA19" s="20"/>
    </row>
    <row r="20" spans="1:27" x14ac:dyDescent="0.35">
      <c r="A20" s="27" t="s">
        <v>184</v>
      </c>
      <c r="B20" s="35"/>
      <c r="C20" s="35"/>
      <c r="D20" s="3"/>
      <c r="E20" s="3"/>
      <c r="F20" s="17">
        <v>-12000</v>
      </c>
      <c r="G20" s="3"/>
      <c r="H20" s="3">
        <f>I20/100*50*4545</f>
        <v>89953.124999999985</v>
      </c>
      <c r="I20" s="3">
        <f>7.6/19.2*100</f>
        <v>39.583333333333329</v>
      </c>
      <c r="J20" s="3">
        <f>K20/100*(50)*4545</f>
        <v>136350</v>
      </c>
      <c r="K20" s="21">
        <v>60</v>
      </c>
      <c r="L20" s="21">
        <f>M20/100*(50)*4545</f>
        <v>136350</v>
      </c>
      <c r="M20" s="21">
        <v>60</v>
      </c>
      <c r="N20" s="3">
        <f>O20/100*50*4545</f>
        <v>204761.71875</v>
      </c>
      <c r="O20" s="3">
        <f>17.3/19.2*100</f>
        <v>90.104166666666671</v>
      </c>
      <c r="P20" s="3"/>
      <c r="Q20" s="3"/>
      <c r="R20" s="3"/>
      <c r="X20" s="20"/>
      <c r="Y20" s="20"/>
      <c r="Z20" s="20"/>
      <c r="AA20" s="20"/>
    </row>
    <row r="21" spans="1:27" x14ac:dyDescent="0.35">
      <c r="A21" s="26" t="s">
        <v>187</v>
      </c>
      <c r="B21" s="35">
        <v>0.9879</v>
      </c>
      <c r="C21" s="35"/>
      <c r="D21" s="3"/>
      <c r="E21" s="3"/>
      <c r="F21" s="3"/>
      <c r="G21" s="3"/>
      <c r="H21" s="3">
        <f>I21/100*211.7*4545</f>
        <v>384870.60000000003</v>
      </c>
      <c r="I21" s="3">
        <v>40</v>
      </c>
      <c r="J21" s="3">
        <f>K21/100*211.7*4545</f>
        <v>769741.20000000007</v>
      </c>
      <c r="K21" s="73">
        <v>80</v>
      </c>
      <c r="L21" s="3">
        <f>M21/100*211.7*4545</f>
        <v>769741.20000000007</v>
      </c>
      <c r="M21" s="73">
        <v>80</v>
      </c>
      <c r="N21" s="3">
        <f>O21/100*211.7*4545</f>
        <v>865958.85</v>
      </c>
      <c r="O21" s="3">
        <v>90</v>
      </c>
      <c r="P21" s="3"/>
      <c r="Q21" s="3"/>
      <c r="R21" s="3"/>
      <c r="T21" s="20"/>
      <c r="U21" s="20"/>
      <c r="V21" s="20"/>
      <c r="W21" s="20"/>
      <c r="X21" s="20"/>
      <c r="Y21" s="20"/>
      <c r="Z21" s="20"/>
      <c r="AA21" s="20"/>
    </row>
    <row r="22" spans="1:27" x14ac:dyDescent="0.35">
      <c r="A22" s="26" t="s">
        <v>256</v>
      </c>
      <c r="B22" s="35">
        <f>4735*202/(4735*202+947*195)*B21</f>
        <v>0.82803236514522827</v>
      </c>
      <c r="C22" s="35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T22" s="20"/>
      <c r="U22" s="20"/>
      <c r="V22" s="20"/>
      <c r="W22" s="20"/>
      <c r="X22" s="20"/>
      <c r="Y22" s="20"/>
      <c r="Z22" s="20"/>
      <c r="AA22" s="20"/>
    </row>
    <row r="23" spans="1:27" x14ac:dyDescent="0.35">
      <c r="A23" s="27" t="s">
        <v>257</v>
      </c>
      <c r="B23" s="35">
        <f>947*195/(4735*202+947*195)*B21</f>
        <v>0.15986763485477179</v>
      </c>
      <c r="C23" s="35"/>
      <c r="D23" s="3"/>
      <c r="E23" s="3">
        <v>700</v>
      </c>
      <c r="F23" s="3">
        <v>3000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T23" s="20"/>
      <c r="U23" s="20"/>
      <c r="V23" s="20"/>
      <c r="W23" s="20"/>
      <c r="X23" s="20"/>
      <c r="Y23" s="20"/>
      <c r="Z23" s="20"/>
      <c r="AA23" s="20"/>
    </row>
    <row r="24" spans="1:27" x14ac:dyDescent="0.35">
      <c r="A24" s="29" t="s">
        <v>258</v>
      </c>
      <c r="B24" s="35">
        <v>9.6000000000000002E-2</v>
      </c>
      <c r="C24" s="35"/>
      <c r="D24" s="3"/>
      <c r="E24" s="3"/>
      <c r="F24" s="3"/>
      <c r="G24" s="3"/>
      <c r="H24" s="3">
        <f>I24/100*8*4545</f>
        <v>14544</v>
      </c>
      <c r="I24" s="3">
        <v>40</v>
      </c>
      <c r="J24" s="3">
        <f>K24/100*8*4545</f>
        <v>21816</v>
      </c>
      <c r="K24" s="3">
        <v>60</v>
      </c>
      <c r="L24" s="3">
        <f>M24/100*8*4545</f>
        <v>21816</v>
      </c>
      <c r="M24" s="3">
        <v>60</v>
      </c>
      <c r="N24" s="3">
        <f>O24/100*8*4545</f>
        <v>32724</v>
      </c>
      <c r="O24" s="3">
        <v>90</v>
      </c>
      <c r="P24" s="3"/>
      <c r="Q24" s="3"/>
      <c r="R24" s="3"/>
      <c r="T24" s="20"/>
      <c r="U24" s="20"/>
      <c r="V24" s="20"/>
      <c r="W24" s="20"/>
      <c r="X24" s="20"/>
      <c r="Y24" s="20"/>
      <c r="Z24" s="20"/>
      <c r="AA24" s="20"/>
    </row>
    <row r="25" spans="1:27" x14ac:dyDescent="0.35">
      <c r="A25" s="26" t="s">
        <v>188</v>
      </c>
      <c r="B25" s="35">
        <v>1.1895</v>
      </c>
      <c r="C25" s="35"/>
      <c r="D25" s="3"/>
      <c r="E25" s="3"/>
      <c r="F25" s="3"/>
      <c r="G25" s="3"/>
      <c r="H25" s="21">
        <f>I25/100*(40+68.7)*4545</f>
        <v>197616.6</v>
      </c>
      <c r="I25" s="3">
        <v>40</v>
      </c>
      <c r="J25" s="21">
        <f>K25/100*(40+68.7)*4545</f>
        <v>345829.05</v>
      </c>
      <c r="K25" s="73">
        <v>70</v>
      </c>
      <c r="L25" s="21">
        <f>M25/100*(40+68.7)*4545</f>
        <v>345829.05</v>
      </c>
      <c r="M25" s="73">
        <v>70</v>
      </c>
      <c r="N25" s="21">
        <f>O25/100*(40+68.7)*4545</f>
        <v>444637.35</v>
      </c>
      <c r="O25" s="3">
        <v>90</v>
      </c>
      <c r="P25" s="3"/>
      <c r="Q25" s="3"/>
      <c r="R25" s="3"/>
      <c r="T25" s="20"/>
      <c r="U25" s="20"/>
      <c r="V25" s="20"/>
      <c r="W25" s="20"/>
      <c r="X25" s="20"/>
      <c r="Y25" s="20"/>
      <c r="Z25" s="20"/>
      <c r="AA25" s="20"/>
    </row>
    <row r="26" spans="1:27" x14ac:dyDescent="0.35">
      <c r="A26" s="26" t="s">
        <v>189</v>
      </c>
      <c r="B26" s="35">
        <f>4735*250/(4735*250+947.1*70+1213*405)*B25</f>
        <v>0.80862626858368858</v>
      </c>
      <c r="C26" s="35"/>
      <c r="D26" s="3"/>
      <c r="E26" s="3"/>
      <c r="F26" s="3"/>
      <c r="G26" s="3"/>
      <c r="H26" s="3"/>
      <c r="I26" s="3"/>
      <c r="J26" s="3"/>
      <c r="K26" s="21"/>
      <c r="L26" s="21"/>
      <c r="M26" s="21"/>
      <c r="N26" s="21"/>
      <c r="O26" s="3"/>
      <c r="P26" s="3"/>
      <c r="Q26" s="3"/>
      <c r="R26" s="3"/>
      <c r="T26" s="20"/>
      <c r="U26" s="20"/>
      <c r="V26" s="20"/>
      <c r="W26" s="20"/>
      <c r="X26" s="20"/>
      <c r="Y26" s="20"/>
      <c r="Z26" s="20"/>
      <c r="AA26" s="20"/>
    </row>
    <row r="27" spans="1:27" x14ac:dyDescent="0.35">
      <c r="A27" s="26" t="s">
        <v>190</v>
      </c>
      <c r="B27" s="35">
        <f>1213*405/(4735*250+947.1*70+1213*405)*B25</f>
        <v>0.3355858786363386</v>
      </c>
      <c r="C27" s="35"/>
      <c r="D27" s="3"/>
      <c r="E27" s="3"/>
      <c r="F27" s="3">
        <v>3600</v>
      </c>
      <c r="G27" s="3"/>
      <c r="H27" s="3"/>
      <c r="I27" s="3"/>
      <c r="J27" s="3"/>
      <c r="K27" s="21"/>
      <c r="L27" s="21"/>
      <c r="M27" s="21"/>
      <c r="N27" s="21"/>
      <c r="O27" s="3"/>
      <c r="P27" s="3"/>
      <c r="Q27" s="3"/>
      <c r="R27" s="3"/>
      <c r="T27" s="20"/>
      <c r="U27" s="20"/>
      <c r="V27" s="20"/>
      <c r="W27" s="20"/>
      <c r="X27" s="20"/>
      <c r="Y27" s="20"/>
      <c r="Z27" s="20"/>
      <c r="AA27" s="20"/>
    </row>
    <row r="28" spans="1:27" x14ac:dyDescent="0.35">
      <c r="A28" s="26" t="s">
        <v>259</v>
      </c>
      <c r="B28" s="35">
        <f>947.1*70/(4735*250+947.1*70+1213*405)*B25</f>
        <v>4.5287852779972805E-2</v>
      </c>
      <c r="C28" s="35"/>
      <c r="D28" s="3"/>
      <c r="E28" s="3"/>
      <c r="F28" s="3">
        <v>1750</v>
      </c>
      <c r="G28" s="3"/>
      <c r="H28" s="3">
        <f>I28/100*1*4545</f>
        <v>1818</v>
      </c>
      <c r="I28" s="3">
        <v>40</v>
      </c>
      <c r="J28" s="3">
        <f>K28/100*1*4545</f>
        <v>2727</v>
      </c>
      <c r="K28" s="21">
        <v>60</v>
      </c>
      <c r="L28" s="3">
        <f>M28/100*1*4545</f>
        <v>2727</v>
      </c>
      <c r="M28" s="21">
        <v>60</v>
      </c>
      <c r="N28" s="3">
        <f>O28/100*1*4545</f>
        <v>4090.5</v>
      </c>
      <c r="O28" s="3">
        <v>90</v>
      </c>
      <c r="P28" s="3"/>
      <c r="Q28" s="3"/>
      <c r="R28" s="3"/>
      <c r="T28" s="20"/>
      <c r="U28" s="20"/>
      <c r="V28" s="20"/>
      <c r="W28" s="20"/>
      <c r="X28" s="20"/>
      <c r="Y28" s="20"/>
      <c r="Z28" s="20"/>
      <c r="AA28" s="20"/>
    </row>
    <row r="29" spans="1:27" x14ac:dyDescent="0.35">
      <c r="A29" s="27" t="s">
        <v>260</v>
      </c>
      <c r="B29" s="35">
        <v>0.28399999999999997</v>
      </c>
      <c r="C29" s="35"/>
      <c r="D29" s="3"/>
      <c r="E29" s="3"/>
      <c r="F29" s="3">
        <v>3750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27" x14ac:dyDescent="0.35">
      <c r="A30" s="29" t="s">
        <v>191</v>
      </c>
      <c r="B30" s="35">
        <v>0.34429999999999999</v>
      </c>
      <c r="C30" s="35"/>
      <c r="D30" s="3"/>
      <c r="E30" s="3"/>
      <c r="F30" s="3">
        <v>2700</v>
      </c>
      <c r="G30" s="3"/>
      <c r="H30" s="3">
        <f>I30/100*1*4545</f>
        <v>1818</v>
      </c>
      <c r="I30" s="3">
        <f>7.1/17.75*100</f>
        <v>40</v>
      </c>
      <c r="J30" s="3">
        <f>K30/100*1*4545</f>
        <v>2727</v>
      </c>
      <c r="K30" s="21">
        <v>60</v>
      </c>
      <c r="L30" s="21">
        <f>M30/100*1*4545</f>
        <v>2727</v>
      </c>
      <c r="M30" s="21">
        <v>60</v>
      </c>
      <c r="N30" s="3">
        <f>O30/100*1*4545</f>
        <v>4071.2957746478874</v>
      </c>
      <c r="O30" s="3">
        <f>15.9/17.75*100</f>
        <v>89.577464788732399</v>
      </c>
      <c r="P30" s="3"/>
      <c r="Q30" s="3"/>
      <c r="R30" s="3"/>
    </row>
    <row r="31" spans="1:27" x14ac:dyDescent="0.35">
      <c r="A31" s="29" t="s">
        <v>196</v>
      </c>
      <c r="B31" s="35">
        <v>0.33629999999999999</v>
      </c>
      <c r="C31" s="35"/>
      <c r="D31" s="3"/>
      <c r="E31" s="3"/>
      <c r="F31" s="3">
        <v>2700</v>
      </c>
      <c r="G31" s="3"/>
      <c r="H31" s="3">
        <f>I31/100*1*4545</f>
        <v>1818</v>
      </c>
      <c r="I31" s="3">
        <f>7.1/17.75*100</f>
        <v>40</v>
      </c>
      <c r="J31" s="3">
        <f>K31/100*1*4545</f>
        <v>2727</v>
      </c>
      <c r="K31" s="21">
        <v>60</v>
      </c>
      <c r="L31" s="21">
        <f>M31/100*1*4545</f>
        <v>2727</v>
      </c>
      <c r="M31" s="21">
        <v>60</v>
      </c>
      <c r="N31" s="3">
        <f>O31/100*1*4545</f>
        <v>4071.2957746478874</v>
      </c>
      <c r="O31" s="3">
        <f>15.9/17.75*100</f>
        <v>89.577464788732399</v>
      </c>
      <c r="P31" s="3"/>
      <c r="Q31" s="3"/>
      <c r="R31" s="3"/>
    </row>
    <row r="32" spans="1:27" s="48" customFormat="1" x14ac:dyDescent="0.35">
      <c r="A32" s="29" t="s">
        <v>156</v>
      </c>
      <c r="B32" s="35"/>
      <c r="C32" s="35"/>
      <c r="D32" s="3"/>
      <c r="E32" s="3"/>
      <c r="F32" s="3"/>
      <c r="G32" s="3"/>
      <c r="H32" s="3">
        <f>I32/100*1*4545</f>
        <v>1818</v>
      </c>
      <c r="I32" s="3">
        <v>40</v>
      </c>
      <c r="J32" s="3">
        <f>K32/100*1*4545</f>
        <v>2727</v>
      </c>
      <c r="K32" s="21">
        <v>60</v>
      </c>
      <c r="L32" s="3">
        <f>M32/100*1*4545</f>
        <v>2727</v>
      </c>
      <c r="M32" s="21">
        <v>60</v>
      </c>
      <c r="N32" s="3">
        <f>O32/100*1*4545</f>
        <v>4090.5</v>
      </c>
      <c r="O32" s="3">
        <v>90</v>
      </c>
      <c r="P32" s="3"/>
      <c r="Q32" s="3"/>
      <c r="R32" s="3"/>
    </row>
    <row r="33" spans="1:18" x14ac:dyDescent="0.35">
      <c r="A33" s="26" t="s">
        <v>197</v>
      </c>
      <c r="B33" s="35"/>
      <c r="C33" s="35"/>
      <c r="D33" s="3"/>
      <c r="E33" s="3"/>
      <c r="F33" s="3"/>
      <c r="G33" s="3"/>
      <c r="H33" s="3">
        <f>I33/100*14*4545</f>
        <v>25452.000000000004</v>
      </c>
      <c r="I33" s="3">
        <f>7.1/17.75*100</f>
        <v>40</v>
      </c>
      <c r="J33" s="3">
        <f>K33/100*14*4545</f>
        <v>38178</v>
      </c>
      <c r="K33" s="21">
        <v>60</v>
      </c>
      <c r="L33" s="21">
        <f>M33/100*14*4545</f>
        <v>38178</v>
      </c>
      <c r="M33" s="21">
        <v>60</v>
      </c>
      <c r="N33" s="3">
        <f>O33/100*14*4545</f>
        <v>56998.140845070426</v>
      </c>
      <c r="O33" s="3">
        <f>15.9/17.75*100</f>
        <v>89.577464788732399</v>
      </c>
      <c r="P33" s="3"/>
      <c r="Q33" s="3"/>
      <c r="R33" s="3"/>
    </row>
    <row r="34" spans="1:18" x14ac:dyDescent="0.35">
      <c r="A34" s="26" t="s">
        <v>198</v>
      </c>
      <c r="B34" s="35"/>
      <c r="C34" s="35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35">
      <c r="A35" s="26" t="s">
        <v>199</v>
      </c>
      <c r="B35" s="35">
        <v>0.1389</v>
      </c>
      <c r="C35" s="35">
        <v>0.37330000000000002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s="48" customFormat="1" x14ac:dyDescent="0.35">
      <c r="A36" s="26" t="s">
        <v>261</v>
      </c>
      <c r="B36" s="35">
        <v>0.1739</v>
      </c>
      <c r="C36" s="35">
        <v>0.2571</v>
      </c>
      <c r="D36" s="3"/>
      <c r="E36" s="3"/>
      <c r="F36" s="3"/>
      <c r="G36" s="3"/>
      <c r="H36" s="3">
        <f>I36/100*1.5*4545</f>
        <v>2727.0000000000005</v>
      </c>
      <c r="I36" s="3">
        <f>7.1/17.75*100</f>
        <v>40</v>
      </c>
      <c r="J36" s="3">
        <f>K36/100*1.5*4545</f>
        <v>4090.4999999999995</v>
      </c>
      <c r="K36" s="21">
        <v>60</v>
      </c>
      <c r="L36" s="21">
        <f>M36/100*1.5*4545</f>
        <v>4090.4999999999995</v>
      </c>
      <c r="M36" s="21">
        <v>60</v>
      </c>
      <c r="N36" s="3">
        <f>O36/100*1.5*4545</f>
        <v>6106.9436619718308</v>
      </c>
      <c r="O36" s="3">
        <f>15.9/17.75*100</f>
        <v>89.577464788732399</v>
      </c>
      <c r="P36" s="3"/>
      <c r="Q36" s="3"/>
      <c r="R36" s="3"/>
    </row>
    <row r="37" spans="1:18" s="48" customFormat="1" x14ac:dyDescent="0.35">
      <c r="A37" s="27" t="s">
        <v>262</v>
      </c>
      <c r="B37" s="35">
        <v>0.36680000000000001</v>
      </c>
      <c r="C37" s="35">
        <v>0.73660000000000003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35">
      <c r="A38" s="26" t="s">
        <v>169</v>
      </c>
      <c r="B38" s="35">
        <v>2.8799999999999999E-2</v>
      </c>
      <c r="C38" s="35"/>
      <c r="D38" s="3"/>
      <c r="E38" s="3"/>
      <c r="F38" s="3"/>
      <c r="G38" s="3"/>
      <c r="H38" s="3">
        <f>I38/100*5*4545</f>
        <v>9090</v>
      </c>
      <c r="I38" s="3">
        <f>7.1/17.75*100</f>
        <v>40</v>
      </c>
      <c r="J38" s="3">
        <f>K38/100*5*4545</f>
        <v>13635</v>
      </c>
      <c r="K38" s="21">
        <v>60</v>
      </c>
      <c r="L38" s="21">
        <f>M38/100*5*4545</f>
        <v>13635</v>
      </c>
      <c r="M38" s="21">
        <v>60</v>
      </c>
      <c r="N38" s="66">
        <f>O38/100*5*4545</f>
        <v>20356.478873239437</v>
      </c>
      <c r="O38" s="3">
        <f>15.9/17.75*100</f>
        <v>89.577464788732399</v>
      </c>
      <c r="P38" s="3"/>
      <c r="Q38" s="3"/>
      <c r="R38" s="3"/>
    </row>
    <row r="39" spans="1:18" x14ac:dyDescent="0.35">
      <c r="A39" s="26" t="s">
        <v>263</v>
      </c>
      <c r="B39" s="35">
        <v>1.8599999999999998E-2</v>
      </c>
      <c r="C39" s="35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x14ac:dyDescent="0.35">
      <c r="A40" s="26" t="s">
        <v>264</v>
      </c>
      <c r="B40" s="35">
        <f>455*60.8/(455*60.8+284*21.8)*B39</f>
        <v>1.5198563293083485E-2</v>
      </c>
      <c r="C40" s="35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x14ac:dyDescent="0.35">
      <c r="A41" s="27" t="s">
        <v>265</v>
      </c>
      <c r="B41" s="35">
        <f>284*21.8/(455*60.8+284*21.8)*B39</f>
        <v>3.4014367069165148E-3</v>
      </c>
      <c r="C41" s="35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s="48" customFormat="1" x14ac:dyDescent="0.35">
      <c r="A42" s="26" t="s">
        <v>154</v>
      </c>
      <c r="B42" s="3"/>
      <c r="C42" s="3"/>
      <c r="D42" s="3"/>
      <c r="E42" s="3"/>
      <c r="F42" s="3">
        <f>150*4545/24</f>
        <v>28406.25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s="48" customFormat="1" x14ac:dyDescent="0.35">
      <c r="A43" s="2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s="48" customFormat="1" x14ac:dyDescent="0.35">
      <c r="A44" s="26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s="48" customFormat="1" x14ac:dyDescent="0.35">
      <c r="A45" s="26"/>
      <c r="B45" s="66"/>
      <c r="C45" s="66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s="48" customFormat="1" x14ac:dyDescent="0.35">
      <c r="A46" s="26"/>
      <c r="B46" s="66"/>
      <c r="C46" s="66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s="48" customFormat="1" x14ac:dyDescent="0.35">
      <c r="A47" s="26"/>
      <c r="B47" s="66"/>
      <c r="C47" s="66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 s="48" customFormat="1" x14ac:dyDescent="0.35">
      <c r="A48" s="26"/>
      <c r="B48" s="66"/>
      <c r="C48" s="66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 s="48" customFormat="1" x14ac:dyDescent="0.35">
      <c r="A49" s="26"/>
      <c r="B49" s="66"/>
      <c r="C49" s="66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 s="48" customFormat="1" x14ac:dyDescent="0.35">
      <c r="A50" s="26"/>
      <c r="B50" s="66"/>
      <c r="C50" s="66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 s="48" customFormat="1" x14ac:dyDescent="0.35">
      <c r="A51" s="26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 s="48" customFormat="1" x14ac:dyDescent="0.35">
      <c r="A52" s="26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 s="48" customFormat="1" x14ac:dyDescent="0.35">
      <c r="A53" s="26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s="48" customFormat="1" x14ac:dyDescent="0.35">
      <c r="A54" s="26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s="48" customFormat="1" x14ac:dyDescent="0.35">
      <c r="A55" s="26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x14ac:dyDescent="0.35">
      <c r="A56" s="26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x14ac:dyDescent="0.35">
      <c r="A57" s="26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</sheetData>
  <customSheetViews>
    <customSheetView guid="{164F6360-D646-4419-90D0-DC921EA06B9A}">
      <selection activeCell="H9" sqref="H9"/>
      <pageMargins left="0.7" right="0.7" top="0.75" bottom="0.75" header="0.3" footer="0.3"/>
    </customSheetView>
  </customSheetViews>
  <mergeCells count="5">
    <mergeCell ref="Y3:Z3"/>
    <mergeCell ref="H1:I1"/>
    <mergeCell ref="J1:K1"/>
    <mergeCell ref="L1:M1"/>
    <mergeCell ref="N1:O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K111"/>
  <sheetViews>
    <sheetView zoomScale="50" zoomScaleNormal="50" workbookViewId="0">
      <pane xSplit="1" ySplit="1" topLeftCell="B57" activePane="bottomRight" state="frozen"/>
      <selection pane="topRight" activeCell="B1" sqref="B1"/>
      <selection pane="bottomLeft" activeCell="A2" sqref="A2"/>
      <selection pane="bottomRight" activeCell="AX1" sqref="AX1:AY1"/>
    </sheetView>
  </sheetViews>
  <sheetFormatPr defaultRowHeight="14.5" x14ac:dyDescent="0.35"/>
  <cols>
    <col min="1" max="1" width="37.453125" bestFit="1" customWidth="1"/>
    <col min="2" max="25" width="6.7265625" customWidth="1"/>
    <col min="26" max="49" width="7.7265625" customWidth="1"/>
    <col min="50" max="50" width="17.453125" bestFit="1" customWidth="1"/>
    <col min="51" max="51" width="17.453125" style="20" bestFit="1" customWidth="1"/>
    <col min="60" max="60" width="10.81640625" bestFit="1" customWidth="1"/>
    <col min="62" max="62" width="10.453125" bestFit="1" customWidth="1"/>
    <col min="63" max="63" width="10.1796875" bestFit="1" customWidth="1"/>
  </cols>
  <sheetData>
    <row r="1" spans="1:63" x14ac:dyDescent="0.3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 s="57">
        <v>23</v>
      </c>
      <c r="Z1">
        <v>0</v>
      </c>
      <c r="AA1">
        <v>1</v>
      </c>
      <c r="AB1">
        <v>2</v>
      </c>
      <c r="AC1">
        <v>3</v>
      </c>
      <c r="AD1">
        <v>4</v>
      </c>
      <c r="AE1">
        <v>5</v>
      </c>
      <c r="AF1">
        <v>6</v>
      </c>
      <c r="AG1">
        <v>7</v>
      </c>
      <c r="AH1">
        <v>8</v>
      </c>
      <c r="AI1">
        <v>9</v>
      </c>
      <c r="AJ1">
        <v>10</v>
      </c>
      <c r="AK1">
        <v>11</v>
      </c>
      <c r="AL1">
        <v>12</v>
      </c>
      <c r="AM1">
        <v>13</v>
      </c>
      <c r="AN1">
        <v>14</v>
      </c>
      <c r="AO1">
        <v>15</v>
      </c>
      <c r="AP1">
        <v>16</v>
      </c>
      <c r="AQ1">
        <v>17</v>
      </c>
      <c r="AR1">
        <v>18</v>
      </c>
      <c r="AS1">
        <v>19</v>
      </c>
      <c r="AT1">
        <v>20</v>
      </c>
      <c r="AU1">
        <v>21</v>
      </c>
      <c r="AV1">
        <v>22</v>
      </c>
      <c r="AW1">
        <v>23</v>
      </c>
      <c r="AX1" s="20" t="s">
        <v>170</v>
      </c>
      <c r="AY1" s="20" t="s">
        <v>170</v>
      </c>
      <c r="AZ1" t="s">
        <v>15</v>
      </c>
      <c r="BA1" t="s">
        <v>16</v>
      </c>
      <c r="BB1" t="s">
        <v>17</v>
      </c>
      <c r="BC1" t="s">
        <v>18</v>
      </c>
      <c r="BD1" t="s">
        <v>19</v>
      </c>
      <c r="BE1" t="s">
        <v>20</v>
      </c>
      <c r="BF1" t="s">
        <v>21</v>
      </c>
      <c r="BG1" t="s">
        <v>22</v>
      </c>
      <c r="BH1" t="s">
        <v>23</v>
      </c>
      <c r="BI1" t="s">
        <v>24</v>
      </c>
      <c r="BJ1" t="s">
        <v>25</v>
      </c>
      <c r="BK1" t="s">
        <v>26</v>
      </c>
    </row>
    <row r="2" spans="1:63" ht="15" thickBot="1" x14ac:dyDescent="0.4">
      <c r="A2" t="s">
        <v>139</v>
      </c>
      <c r="B2">
        <v>0.2</v>
      </c>
      <c r="C2">
        <v>0.2</v>
      </c>
      <c r="D2">
        <v>0.2</v>
      </c>
      <c r="E2">
        <v>0.2</v>
      </c>
      <c r="F2">
        <v>0.2</v>
      </c>
      <c r="G2">
        <v>0.2</v>
      </c>
      <c r="H2">
        <v>0.2</v>
      </c>
      <c r="I2">
        <v>0.2</v>
      </c>
      <c r="J2">
        <v>0.2</v>
      </c>
      <c r="K2">
        <v>0.2</v>
      </c>
      <c r="L2">
        <v>0.2</v>
      </c>
      <c r="M2">
        <v>0.2</v>
      </c>
      <c r="N2">
        <v>0.2</v>
      </c>
      <c r="O2">
        <v>0.2</v>
      </c>
      <c r="P2">
        <v>0.2</v>
      </c>
      <c r="Q2">
        <v>0.2</v>
      </c>
      <c r="R2">
        <v>0.2</v>
      </c>
      <c r="S2">
        <v>0.2</v>
      </c>
      <c r="T2">
        <v>0.2</v>
      </c>
      <c r="U2">
        <v>0.2</v>
      </c>
      <c r="V2">
        <v>0.2</v>
      </c>
      <c r="W2">
        <v>0.2</v>
      </c>
      <c r="X2">
        <v>0.2</v>
      </c>
      <c r="Y2" s="57">
        <v>0.2</v>
      </c>
    </row>
    <row r="3" spans="1:63" ht="15" thickBot="1" x14ac:dyDescent="0.4">
      <c r="A3" s="41" t="s">
        <v>139</v>
      </c>
      <c r="B3" s="56">
        <v>0.23100000000000001</v>
      </c>
      <c r="C3" s="56">
        <v>0.16420000000000001</v>
      </c>
      <c r="D3" s="56">
        <v>0.16420000000000001</v>
      </c>
      <c r="E3" s="56">
        <v>0.16420000000000001</v>
      </c>
      <c r="F3" s="56">
        <v>0.127</v>
      </c>
      <c r="G3" s="56">
        <v>0.127</v>
      </c>
      <c r="H3" s="56">
        <v>0.127</v>
      </c>
      <c r="I3" s="56">
        <v>0.1232</v>
      </c>
      <c r="J3" s="56">
        <v>0.1232</v>
      </c>
      <c r="K3" s="56">
        <v>0.1232</v>
      </c>
      <c r="L3" s="56">
        <v>0.17679999999999998</v>
      </c>
      <c r="M3" s="56">
        <v>0.17679999999999998</v>
      </c>
      <c r="N3" s="56">
        <v>0.17679999999999998</v>
      </c>
      <c r="O3" s="56">
        <v>0.24460000000000001</v>
      </c>
      <c r="P3" s="56">
        <v>0.24460000000000001</v>
      </c>
      <c r="Q3" s="56">
        <v>0.24460000000000001</v>
      </c>
      <c r="R3" s="56">
        <v>0.27390000000000003</v>
      </c>
      <c r="S3" s="56">
        <v>0.27390000000000003</v>
      </c>
      <c r="T3" s="56">
        <v>0.27390000000000003</v>
      </c>
      <c r="U3" s="56">
        <v>0.26700000000000002</v>
      </c>
      <c r="V3" s="56">
        <v>0.26700000000000002</v>
      </c>
      <c r="W3" s="56">
        <v>0.26700000000000002</v>
      </c>
      <c r="X3" s="56">
        <v>0.23100000000000001</v>
      </c>
      <c r="Y3" s="58">
        <v>0.23100000000000001</v>
      </c>
    </row>
    <row r="4" spans="1:63" x14ac:dyDescent="0.35">
      <c r="A4" t="s">
        <v>139</v>
      </c>
      <c r="B4" s="56">
        <v>9.3700000000000006E-2</v>
      </c>
      <c r="C4" s="56">
        <v>9.3700000000000006E-2</v>
      </c>
      <c r="D4" s="56">
        <v>9.3700000000000006E-2</v>
      </c>
      <c r="E4" s="56">
        <v>9.3700000000000006E-2</v>
      </c>
      <c r="F4" s="56">
        <v>9.3700000000000006E-2</v>
      </c>
      <c r="G4" s="56">
        <v>9.3700000000000006E-2</v>
      </c>
      <c r="H4" s="56">
        <v>9.3700000000000006E-2</v>
      </c>
      <c r="I4" s="56">
        <v>9.3700000000000006E-2</v>
      </c>
      <c r="J4" s="56">
        <v>9.3700000000000006E-2</v>
      </c>
      <c r="K4" s="56">
        <v>9.3700000000000006E-2</v>
      </c>
      <c r="L4" s="56">
        <v>0.1216</v>
      </c>
      <c r="M4" s="56">
        <v>0.1216</v>
      </c>
      <c r="N4" s="56">
        <v>0.1216</v>
      </c>
      <c r="O4" s="56">
        <v>0.1216</v>
      </c>
      <c r="P4" s="56">
        <v>0.1216</v>
      </c>
      <c r="Q4" s="56">
        <v>0.1216</v>
      </c>
      <c r="R4" s="56">
        <v>0.1216</v>
      </c>
      <c r="S4" s="56">
        <v>0.1216</v>
      </c>
      <c r="T4" s="56">
        <v>0.1216</v>
      </c>
      <c r="U4" s="56">
        <v>0.1216</v>
      </c>
      <c r="V4" s="56">
        <v>0.1216</v>
      </c>
      <c r="W4" s="56">
        <v>0.1216</v>
      </c>
      <c r="X4" s="56">
        <v>9.3700000000000006E-2</v>
      </c>
      <c r="Y4" s="58">
        <v>9.3700000000000006E-2</v>
      </c>
    </row>
    <row r="5" spans="1:63" x14ac:dyDescent="0.35">
      <c r="A5" s="40" t="s">
        <v>138</v>
      </c>
      <c r="B5" s="56">
        <v>0.2321</v>
      </c>
      <c r="C5" s="56">
        <v>0.16309999999999999</v>
      </c>
      <c r="D5" s="56">
        <v>0.16309999999999999</v>
      </c>
      <c r="E5" s="56">
        <v>0.16309999999999999</v>
      </c>
      <c r="F5" s="56">
        <v>0.12039999999999999</v>
      </c>
      <c r="G5" s="56">
        <v>0.12039999999999999</v>
      </c>
      <c r="H5" s="56">
        <v>0.12039999999999999</v>
      </c>
      <c r="I5" s="56">
        <v>0.12710000000000002</v>
      </c>
      <c r="J5" s="56">
        <v>0.12710000000000002</v>
      </c>
      <c r="K5" s="56">
        <v>0.12710000000000002</v>
      </c>
      <c r="L5" s="56">
        <v>0.19149999999999998</v>
      </c>
      <c r="M5" s="56">
        <v>0.19149999999999998</v>
      </c>
      <c r="N5" s="56">
        <v>0.19149999999999998</v>
      </c>
      <c r="O5" s="56">
        <v>0.2414</v>
      </c>
      <c r="P5" s="56">
        <v>0.2414</v>
      </c>
      <c r="Q5" s="56">
        <v>0.2414</v>
      </c>
      <c r="R5" s="56">
        <v>0.27449999999999997</v>
      </c>
      <c r="S5" s="56">
        <v>0.27449999999999997</v>
      </c>
      <c r="T5" s="56">
        <v>0.27449999999999997</v>
      </c>
      <c r="U5" s="56">
        <v>0.2606</v>
      </c>
      <c r="V5" s="56">
        <v>0.2606</v>
      </c>
      <c r="W5" s="56">
        <v>0.2606</v>
      </c>
      <c r="X5" s="56">
        <v>0.2321</v>
      </c>
      <c r="Y5" s="58">
        <v>0.2321</v>
      </c>
    </row>
    <row r="6" spans="1:63" x14ac:dyDescent="0.35">
      <c r="A6" t="s">
        <v>138</v>
      </c>
      <c r="B6" s="56">
        <v>0.23100000000000001</v>
      </c>
      <c r="C6" s="56">
        <v>0.16420000000000001</v>
      </c>
      <c r="D6" s="56">
        <v>0.16420000000000001</v>
      </c>
      <c r="E6" s="56">
        <v>0.16420000000000001</v>
      </c>
      <c r="F6" s="56">
        <v>0.127</v>
      </c>
      <c r="G6" s="56">
        <v>0.127</v>
      </c>
      <c r="H6" s="56">
        <v>0.127</v>
      </c>
      <c r="I6" s="56">
        <v>0.1232</v>
      </c>
      <c r="J6" s="56">
        <v>0.1232</v>
      </c>
      <c r="K6" s="56">
        <v>0.1232</v>
      </c>
      <c r="L6" s="56">
        <v>0.17679999999999998</v>
      </c>
      <c r="M6" s="56">
        <v>0.17679999999999998</v>
      </c>
      <c r="N6" s="56">
        <v>0.17679999999999998</v>
      </c>
      <c r="O6" s="56">
        <v>0.24460000000000001</v>
      </c>
      <c r="P6" s="56">
        <v>0.24460000000000001</v>
      </c>
      <c r="Q6" s="56">
        <v>0.24460000000000001</v>
      </c>
      <c r="R6" s="56">
        <v>0.27390000000000003</v>
      </c>
      <c r="S6" s="56">
        <v>0.27390000000000003</v>
      </c>
      <c r="T6" s="56">
        <v>0.27390000000000003</v>
      </c>
      <c r="U6" s="56">
        <v>0.26700000000000002</v>
      </c>
      <c r="V6" s="56">
        <v>0.26700000000000002</v>
      </c>
      <c r="W6" s="56">
        <v>0.26700000000000002</v>
      </c>
      <c r="X6" s="56">
        <v>0.23100000000000001</v>
      </c>
      <c r="Y6" s="58">
        <v>0.23100000000000001</v>
      </c>
    </row>
    <row r="7" spans="1:63" x14ac:dyDescent="0.35">
      <c r="A7" s="40" t="s">
        <v>138</v>
      </c>
      <c r="B7" s="56">
        <v>0.13140000000000002</v>
      </c>
      <c r="C7" s="56">
        <v>9.98E-2</v>
      </c>
      <c r="D7" s="56">
        <v>9.98E-2</v>
      </c>
      <c r="E7" s="56">
        <v>9.98E-2</v>
      </c>
      <c r="F7" s="56">
        <v>8.48E-2</v>
      </c>
      <c r="G7" s="56">
        <v>8.48E-2</v>
      </c>
      <c r="H7" s="56">
        <v>8.48E-2</v>
      </c>
      <c r="I7" s="56">
        <v>8.2400000000000001E-2</v>
      </c>
      <c r="J7" s="56">
        <v>8.2400000000000001E-2</v>
      </c>
      <c r="K7" s="56">
        <v>8.2400000000000001E-2</v>
      </c>
      <c r="L7" s="56">
        <v>9.5600000000000004E-2</v>
      </c>
      <c r="M7" s="56">
        <v>9.5600000000000004E-2</v>
      </c>
      <c r="N7" s="56">
        <v>9.5600000000000004E-2</v>
      </c>
      <c r="O7" s="56">
        <v>0.12179999999999999</v>
      </c>
      <c r="P7" s="56">
        <v>0.12179999999999999</v>
      </c>
      <c r="Q7" s="56">
        <v>0.12179999999999999</v>
      </c>
      <c r="R7" s="56">
        <v>0.16399999999999998</v>
      </c>
      <c r="S7" s="56">
        <v>0.16399999999999998</v>
      </c>
      <c r="T7" s="56">
        <v>0.16399999999999998</v>
      </c>
      <c r="U7" s="56">
        <v>0.15060000000000001</v>
      </c>
      <c r="V7" s="56">
        <v>0.15060000000000001</v>
      </c>
      <c r="W7" s="56">
        <v>0.15060000000000001</v>
      </c>
      <c r="X7" s="56">
        <v>0.13140000000000002</v>
      </c>
      <c r="Y7" s="58">
        <v>0.13140000000000002</v>
      </c>
    </row>
    <row r="8" spans="1:63" x14ac:dyDescent="0.35">
      <c r="A8" t="s">
        <v>138</v>
      </c>
      <c r="B8" s="56">
        <v>0.159</v>
      </c>
      <c r="C8" s="56">
        <v>0.12300000000000001</v>
      </c>
      <c r="D8" s="56">
        <v>0.12300000000000001</v>
      </c>
      <c r="E8" s="56">
        <v>0.12300000000000001</v>
      </c>
      <c r="F8" s="56">
        <v>0.10679999999999999</v>
      </c>
      <c r="G8" s="56">
        <v>0.10679999999999999</v>
      </c>
      <c r="H8" s="56">
        <v>0.10679999999999999</v>
      </c>
      <c r="I8" s="56">
        <v>0.10390000000000001</v>
      </c>
      <c r="J8" s="56">
        <v>0.10390000000000001</v>
      </c>
      <c r="K8" s="56">
        <v>0.10390000000000001</v>
      </c>
      <c r="L8" s="56">
        <v>0.1186</v>
      </c>
      <c r="M8" s="56">
        <v>0.1186</v>
      </c>
      <c r="N8" s="56">
        <v>0.1186</v>
      </c>
      <c r="O8" s="56">
        <v>0.13970000000000002</v>
      </c>
      <c r="P8" s="56">
        <v>0.13970000000000002</v>
      </c>
      <c r="Q8" s="56">
        <v>0.13970000000000002</v>
      </c>
      <c r="R8" s="56">
        <v>0.1759</v>
      </c>
      <c r="S8" s="56">
        <v>0.1759</v>
      </c>
      <c r="T8" s="56">
        <v>0.1759</v>
      </c>
      <c r="U8" s="56">
        <v>0.1822</v>
      </c>
      <c r="V8" s="56">
        <v>0.1822</v>
      </c>
      <c r="W8" s="56">
        <v>0.1822</v>
      </c>
      <c r="X8" s="56">
        <v>0.159</v>
      </c>
      <c r="Y8" s="58">
        <v>0.159</v>
      </c>
    </row>
    <row r="9" spans="1:63" x14ac:dyDescent="0.35">
      <c r="A9" s="40" t="s">
        <v>138</v>
      </c>
      <c r="B9" s="56">
        <v>6.5099999999999991E-2</v>
      </c>
      <c r="C9" s="56">
        <v>6.0499999999999998E-2</v>
      </c>
      <c r="D9" s="56">
        <v>6.0499999999999998E-2</v>
      </c>
      <c r="E9" s="56">
        <v>6.0499999999999998E-2</v>
      </c>
      <c r="F9" s="56">
        <v>5.8200000000000002E-2</v>
      </c>
      <c r="G9" s="56">
        <v>5.8200000000000002E-2</v>
      </c>
      <c r="H9" s="56">
        <v>5.8200000000000002E-2</v>
      </c>
      <c r="I9" s="56">
        <v>5.7800000000000004E-2</v>
      </c>
      <c r="J9" s="56">
        <v>5.7800000000000004E-2</v>
      </c>
      <c r="K9" s="56">
        <v>5.7800000000000004E-2</v>
      </c>
      <c r="L9" s="56">
        <v>5.9800000000000006E-2</v>
      </c>
      <c r="M9" s="56">
        <v>5.9800000000000006E-2</v>
      </c>
      <c r="N9" s="56">
        <v>5.9800000000000006E-2</v>
      </c>
      <c r="O9" s="56">
        <v>6.2600000000000003E-2</v>
      </c>
      <c r="P9" s="56">
        <v>6.2600000000000003E-2</v>
      </c>
      <c r="Q9" s="56">
        <v>6.2600000000000003E-2</v>
      </c>
      <c r="R9" s="56">
        <v>8.09E-2</v>
      </c>
      <c r="S9" s="56">
        <v>8.09E-2</v>
      </c>
      <c r="T9" s="56">
        <v>8.09E-2</v>
      </c>
      <c r="U9" s="56">
        <v>8.72E-2</v>
      </c>
      <c r="V9" s="56">
        <v>8.72E-2</v>
      </c>
      <c r="W9" s="56">
        <v>8.72E-2</v>
      </c>
      <c r="X9" s="56">
        <v>6.5099999999999991E-2</v>
      </c>
      <c r="Y9" s="58">
        <v>6.5099999999999991E-2</v>
      </c>
    </row>
    <row r="10" spans="1:63" x14ac:dyDescent="0.35">
      <c r="A10" t="s">
        <v>138</v>
      </c>
      <c r="B10" s="56">
        <v>5.5999999999999994E-2</v>
      </c>
      <c r="C10" s="56">
        <v>5.2400000000000002E-2</v>
      </c>
      <c r="D10" s="56">
        <v>5.2400000000000002E-2</v>
      </c>
      <c r="E10" s="56">
        <v>5.2400000000000002E-2</v>
      </c>
      <c r="F10" s="56">
        <v>5.0700000000000002E-2</v>
      </c>
      <c r="G10" s="56">
        <v>5.0700000000000002E-2</v>
      </c>
      <c r="H10" s="56">
        <v>5.0700000000000002E-2</v>
      </c>
      <c r="I10" s="56">
        <v>5.2000000000000005E-2</v>
      </c>
      <c r="J10" s="56">
        <v>5.2000000000000005E-2</v>
      </c>
      <c r="K10" s="56">
        <v>5.2000000000000005E-2</v>
      </c>
      <c r="L10" s="56">
        <v>5.2900000000000003E-2</v>
      </c>
      <c r="M10" s="56">
        <v>5.2900000000000003E-2</v>
      </c>
      <c r="N10" s="56">
        <v>5.2900000000000003E-2</v>
      </c>
      <c r="O10" s="56">
        <v>5.3699999999999998E-2</v>
      </c>
      <c r="P10" s="56">
        <v>5.3699999999999998E-2</v>
      </c>
      <c r="Q10" s="56">
        <v>5.3699999999999998E-2</v>
      </c>
      <c r="R10" s="56">
        <v>5.8799999999999998E-2</v>
      </c>
      <c r="S10" s="56">
        <v>5.8799999999999998E-2</v>
      </c>
      <c r="T10" s="56">
        <v>5.8799999999999998E-2</v>
      </c>
      <c r="U10" s="56">
        <v>7.3099999999999998E-2</v>
      </c>
      <c r="V10" s="56">
        <v>7.3099999999999998E-2</v>
      </c>
      <c r="W10" s="56">
        <v>7.3099999999999998E-2</v>
      </c>
      <c r="X10" s="56">
        <v>5.5999999999999994E-2</v>
      </c>
      <c r="Y10" s="58">
        <v>5.5999999999999994E-2</v>
      </c>
    </row>
    <row r="11" spans="1:63" s="9" customFormat="1" x14ac:dyDescent="0.35">
      <c r="A11" s="7" t="s">
        <v>153</v>
      </c>
      <c r="B11" s="8">
        <f>Z11*$AX11*4545</f>
        <v>34248.527983182095</v>
      </c>
      <c r="C11" s="8">
        <f t="shared" ref="C11:Y11" si="0">AA11*$AX11*4545</f>
        <v>34195.652159695375</v>
      </c>
      <c r="D11" s="8">
        <f t="shared" si="0"/>
        <v>34146.740494480626</v>
      </c>
      <c r="E11" s="8">
        <f t="shared" si="0"/>
        <v>34150.70630517372</v>
      </c>
      <c r="F11" s="8">
        <f t="shared" si="0"/>
        <v>34165.247611048369</v>
      </c>
      <c r="G11" s="8">
        <f t="shared" si="0"/>
        <v>34235.310266626257</v>
      </c>
      <c r="H11" s="8">
        <f t="shared" si="0"/>
        <v>34395.264631247468</v>
      </c>
      <c r="I11" s="8">
        <f t="shared" si="0"/>
        <v>35331.195954816205</v>
      </c>
      <c r="J11" s="8">
        <f t="shared" si="0"/>
        <v>38250.032624928877</v>
      </c>
      <c r="K11" s="8">
        <f t="shared" si="0"/>
        <v>38830.362923017397</v>
      </c>
      <c r="L11" s="8">
        <f t="shared" si="0"/>
        <v>39524.379794307773</v>
      </c>
      <c r="M11" s="8">
        <f t="shared" si="0"/>
        <v>39320.801512062601</v>
      </c>
      <c r="N11" s="8">
        <f t="shared" si="0"/>
        <v>38876.630714436753</v>
      </c>
      <c r="O11" s="8">
        <f t="shared" si="0"/>
        <v>38390.157936084652</v>
      </c>
      <c r="P11" s="8">
        <f t="shared" si="0"/>
        <v>37820.403133177686</v>
      </c>
      <c r="Q11" s="8">
        <f t="shared" si="0"/>
        <v>37664.414579249569</v>
      </c>
      <c r="R11" s="8">
        <f t="shared" si="0"/>
        <v>37779.423089349119</v>
      </c>
      <c r="S11" s="8">
        <f t="shared" si="0"/>
        <v>37842.876060438524</v>
      </c>
      <c r="T11" s="8">
        <f t="shared" si="0"/>
        <v>37971.103939515029</v>
      </c>
      <c r="U11" s="8">
        <f t="shared" si="0"/>
        <v>37743.730793111325</v>
      </c>
      <c r="V11" s="8">
        <f t="shared" si="0"/>
        <v>39211.080749553839</v>
      </c>
      <c r="W11" s="8">
        <f t="shared" si="0"/>
        <v>38999.570845922484</v>
      </c>
      <c r="X11" s="8">
        <f t="shared" si="0"/>
        <v>38903.069452390679</v>
      </c>
      <c r="Y11" s="59">
        <f t="shared" si="0"/>
        <v>38505.166446184201</v>
      </c>
      <c r="Z11" s="51">
        <v>3.8459805539070011E-2</v>
      </c>
      <c r="AA11" s="51">
        <v>3.8400427983047283E-2</v>
      </c>
      <c r="AB11" s="51">
        <v>3.8345502027290146E-2</v>
      </c>
      <c r="AC11" s="51">
        <v>3.8349955483162348E-2</v>
      </c>
      <c r="AD11" s="51">
        <v>3.8366284821360411E-2</v>
      </c>
      <c r="AE11" s="51">
        <v>3.8444962541769288E-2</v>
      </c>
      <c r="AF11" s="51">
        <v>3.8624585261948043E-2</v>
      </c>
      <c r="AG11" s="51">
        <v>3.9675600847787346E-2</v>
      </c>
      <c r="AH11" s="51">
        <v>4.2953344369726885E-2</v>
      </c>
      <c r="AI11" s="51">
        <v>4.3605033412358885E-2</v>
      </c>
      <c r="AJ11" s="51">
        <v>4.4384388189993962E-2</v>
      </c>
      <c r="AK11" s="51">
        <v>4.4155777455221007E-2</v>
      </c>
      <c r="AL11" s="51">
        <v>4.3656990397534554E-2</v>
      </c>
      <c r="AM11" s="51">
        <v>4.3110699810544634E-2</v>
      </c>
      <c r="AN11" s="51">
        <v>4.2470886650238501E-2</v>
      </c>
      <c r="AO11" s="51">
        <v>4.229571738593195E-2</v>
      </c>
      <c r="AP11" s="51">
        <v>4.2424867606225762E-2</v>
      </c>
      <c r="AQ11" s="51">
        <v>4.2496122900180969E-2</v>
      </c>
      <c r="AR11" s="51">
        <v>4.2640117973382116E-2</v>
      </c>
      <c r="AS11" s="51">
        <v>4.238478650337596E-2</v>
      </c>
      <c r="AT11" s="51">
        <v>4.4032565176090131E-2</v>
      </c>
      <c r="AU11" s="51">
        <v>4.3795047529572771E-2</v>
      </c>
      <c r="AV11" s="51">
        <v>4.3686680103349224E-2</v>
      </c>
      <c r="AW11" s="51">
        <v>4.3239850030838446E-2</v>
      </c>
      <c r="AX11" s="8">
        <v>195.93</v>
      </c>
      <c r="AY11" s="54"/>
      <c r="AZ11" s="9">
        <v>159.02000000000001</v>
      </c>
      <c r="BA11" s="9">
        <v>158.16999999999999</v>
      </c>
      <c r="BB11" s="9">
        <v>171.79</v>
      </c>
      <c r="BC11" s="9">
        <v>183.57</v>
      </c>
      <c r="BD11" s="9">
        <v>189.57</v>
      </c>
      <c r="BE11" s="9">
        <v>200.83</v>
      </c>
      <c r="BF11" s="9">
        <v>195.93</v>
      </c>
      <c r="BG11" s="9">
        <v>191.28</v>
      </c>
      <c r="BH11" s="9">
        <v>191.21</v>
      </c>
      <c r="BI11" s="9">
        <v>193.93</v>
      </c>
      <c r="BJ11" s="9">
        <v>188.91</v>
      </c>
      <c r="BK11" s="9">
        <v>176.61</v>
      </c>
    </row>
    <row r="12" spans="1:63" s="11" customFormat="1" x14ac:dyDescent="0.35">
      <c r="A12" s="10" t="s">
        <v>154</v>
      </c>
      <c r="B12" s="51">
        <f t="shared" ref="B12:B27" si="1">Z12*$AX12*4545</f>
        <v>1102.7238767429849</v>
      </c>
      <c r="C12" s="51">
        <f t="shared" ref="C12:C27" si="2">AA12*$AX12*4545</f>
        <v>1102.7238767429849</v>
      </c>
      <c r="D12" s="51">
        <f t="shared" ref="D12:D27" si="3">AB12*$AX12*4545</f>
        <v>1102.7238767429849</v>
      </c>
      <c r="E12" s="51">
        <f t="shared" ref="E12:E27" si="4">AC12*$AX12*4545</f>
        <v>1101.5893871578585</v>
      </c>
      <c r="F12" s="51">
        <f t="shared" ref="F12:F27" si="5">AD12*$AX12*4545</f>
        <v>1101.5893871578585</v>
      </c>
      <c r="G12" s="51">
        <f t="shared" ref="G12:G27" si="6">AE12*$AX12*4545</f>
        <v>1101.5893871578585</v>
      </c>
      <c r="H12" s="51">
        <f t="shared" ref="H12:H27" si="7">AF12*$AX12*4545</f>
        <v>1101.5893871578585</v>
      </c>
      <c r="I12" s="51">
        <f t="shared" ref="I12:I27" si="8">AG12*$AX12*4545</f>
        <v>1100.4548975727319</v>
      </c>
      <c r="J12" s="51">
        <f t="shared" ref="J12:J27" si="9">AH12*$AX12*4545</f>
        <v>1099.3204079876054</v>
      </c>
      <c r="K12" s="51">
        <f t="shared" ref="K12:K27" si="10">AI12*$AX12*4545</f>
        <v>1099.3204079876054</v>
      </c>
      <c r="L12" s="51">
        <f t="shared" ref="L12:L27" si="11">AJ12*$AX12*4545</f>
        <v>1099.3204079876054</v>
      </c>
      <c r="M12" s="51">
        <f t="shared" ref="M12:M27" si="12">AK12*$AX12*4545</f>
        <v>1098.1859184024788</v>
      </c>
      <c r="N12" s="51">
        <f t="shared" ref="N12:N27" si="13">AL12*$AX12*4545</f>
        <v>1097.0514288173524</v>
      </c>
      <c r="O12" s="51">
        <f t="shared" ref="O12:O27" si="14">AM12*$AX12*4545</f>
        <v>1098.1859184024788</v>
      </c>
      <c r="P12" s="51">
        <f t="shared" ref="P12:P27" si="15">AN12*$AX12*4545</f>
        <v>1095.9169392322258</v>
      </c>
      <c r="Q12" s="51">
        <f t="shared" ref="Q12:Q27" si="16">AO12*$AX12*4545</f>
        <v>1095.9169392322258</v>
      </c>
      <c r="R12" s="51">
        <f t="shared" ref="R12:R27" si="17">AP12*$AX12*4545</f>
        <v>1094.7824496470994</v>
      </c>
      <c r="S12" s="51">
        <f t="shared" ref="S12:S27" si="18">AQ12*$AX12*4545</f>
        <v>1094.7824496470994</v>
      </c>
      <c r="T12" s="51">
        <f t="shared" ref="T12:T27" si="19">AR12*$AX12*4545</f>
        <v>1094.7824496470994</v>
      </c>
      <c r="U12" s="51">
        <f t="shared" ref="U12:U27" si="20">AS12*$AX12*4545</f>
        <v>1094.7824496470994</v>
      </c>
      <c r="V12" s="51">
        <f t="shared" ref="V12:V27" si="21">AT12*$AX12*4545</f>
        <v>1095.9169392322258</v>
      </c>
      <c r="W12" s="51">
        <f t="shared" ref="W12:W27" si="22">AU12*$AX12*4545</f>
        <v>1095.9169392322258</v>
      </c>
      <c r="X12" s="51">
        <f t="shared" ref="X12:X27" si="23">AV12*$AX12*4545</f>
        <v>1095.9169392322258</v>
      </c>
      <c r="Y12" s="60">
        <f t="shared" ref="Y12:Y27" si="24">AW12*$AX12*4545</f>
        <v>1095.9169392322258</v>
      </c>
      <c r="Z12" s="51">
        <v>4.1831640557755206E-2</v>
      </c>
      <c r="AA12" s="51">
        <v>4.1831640557755206E-2</v>
      </c>
      <c r="AB12" s="51">
        <v>4.1831640557755206E-2</v>
      </c>
      <c r="AC12" s="51">
        <v>4.1788603890514718E-2</v>
      </c>
      <c r="AD12" s="51">
        <v>4.1788603890514718E-2</v>
      </c>
      <c r="AE12" s="51">
        <v>4.1788603890514718E-2</v>
      </c>
      <c r="AF12" s="51">
        <v>4.1788603890514718E-2</v>
      </c>
      <c r="AG12" s="51">
        <v>4.174556722327423E-2</v>
      </c>
      <c r="AH12" s="51">
        <v>4.1702530556033741E-2</v>
      </c>
      <c r="AI12" s="51">
        <v>4.1702530556033741E-2</v>
      </c>
      <c r="AJ12" s="51">
        <v>4.1702530556033741E-2</v>
      </c>
      <c r="AK12" s="51">
        <v>4.1659493888793253E-2</v>
      </c>
      <c r="AL12" s="51">
        <v>4.1616457221552765E-2</v>
      </c>
      <c r="AM12" s="51">
        <v>4.1659493888793253E-2</v>
      </c>
      <c r="AN12" s="51">
        <v>4.1573420554312276E-2</v>
      </c>
      <c r="AO12" s="51">
        <v>4.1573420554312276E-2</v>
      </c>
      <c r="AP12" s="51">
        <v>4.1530383887071788E-2</v>
      </c>
      <c r="AQ12" s="51">
        <v>4.1530383887071788E-2</v>
      </c>
      <c r="AR12" s="51">
        <v>4.1530383887071788E-2</v>
      </c>
      <c r="AS12" s="51">
        <v>4.1530383887071788E-2</v>
      </c>
      <c r="AT12" s="51">
        <v>4.1573420554312276E-2</v>
      </c>
      <c r="AU12" s="51">
        <v>4.1573420554312276E-2</v>
      </c>
      <c r="AV12" s="51">
        <v>4.1573420554312276E-2</v>
      </c>
      <c r="AW12" s="51">
        <v>4.1573420554312276E-2</v>
      </c>
      <c r="AX12" s="51">
        <v>5.8</v>
      </c>
      <c r="AY12" s="68"/>
      <c r="AZ12" s="11">
        <v>5.8</v>
      </c>
      <c r="BA12" s="11">
        <v>5.8</v>
      </c>
      <c r="BB12" s="11">
        <v>5.8</v>
      </c>
      <c r="BC12" s="11">
        <v>5.8</v>
      </c>
      <c r="BD12" s="11">
        <v>5.8</v>
      </c>
      <c r="BE12" s="11">
        <v>5.8</v>
      </c>
      <c r="BF12" s="11">
        <v>5.8</v>
      </c>
      <c r="BG12" s="11">
        <v>5.8</v>
      </c>
      <c r="BH12" s="11">
        <v>5.8</v>
      </c>
      <c r="BI12" s="11">
        <v>5.8</v>
      </c>
      <c r="BJ12" s="11">
        <v>5.8</v>
      </c>
      <c r="BK12" s="11">
        <v>5.8</v>
      </c>
    </row>
    <row r="13" spans="1:63" s="6" customFormat="1" x14ac:dyDescent="0.35">
      <c r="A13" s="14" t="s">
        <v>155</v>
      </c>
      <c r="B13" s="5">
        <f t="shared" si="1"/>
        <v>1772.0432208622381</v>
      </c>
      <c r="C13" s="5">
        <f t="shared" si="2"/>
        <v>1773.5949224566884</v>
      </c>
      <c r="D13" s="5">
        <f t="shared" si="3"/>
        <v>1770.4915192677881</v>
      </c>
      <c r="E13" s="5">
        <f t="shared" si="4"/>
        <v>1775.1466240511386</v>
      </c>
      <c r="F13" s="5">
        <f t="shared" si="5"/>
        <v>1765.836414484437</v>
      </c>
      <c r="G13" s="5">
        <f t="shared" si="6"/>
        <v>1764.2847128899866</v>
      </c>
      <c r="H13" s="5">
        <f t="shared" si="7"/>
        <v>1762.7330112955365</v>
      </c>
      <c r="I13" s="5">
        <f t="shared" si="8"/>
        <v>1776.698325645589</v>
      </c>
      <c r="J13" s="5">
        <f t="shared" si="9"/>
        <v>1778.2500272400391</v>
      </c>
      <c r="K13" s="5">
        <f t="shared" si="10"/>
        <v>1779.8017288344895</v>
      </c>
      <c r="L13" s="5">
        <f t="shared" si="11"/>
        <v>1784.4568336178406</v>
      </c>
      <c r="M13" s="5">
        <f t="shared" si="12"/>
        <v>1786.0085352122906</v>
      </c>
      <c r="N13" s="5">
        <f t="shared" si="13"/>
        <v>1803.0772527512443</v>
      </c>
      <c r="O13" s="5">
        <f t="shared" si="14"/>
        <v>1789.1119384011913</v>
      </c>
      <c r="P13" s="5">
        <f t="shared" si="15"/>
        <v>1775.1466240511386</v>
      </c>
      <c r="Q13" s="5">
        <f t="shared" si="16"/>
        <v>1773.5949224566884</v>
      </c>
      <c r="R13" s="5">
        <f t="shared" si="17"/>
        <v>1790.6636399956417</v>
      </c>
      <c r="S13" s="5">
        <f t="shared" si="18"/>
        <v>1806.1806559401446</v>
      </c>
      <c r="T13" s="5">
        <f t="shared" si="19"/>
        <v>1817.0425671012968</v>
      </c>
      <c r="U13" s="5">
        <f t="shared" si="20"/>
        <v>1789.1119384011913</v>
      </c>
      <c r="V13" s="5">
        <f t="shared" si="21"/>
        <v>1775.1466240511386</v>
      </c>
      <c r="W13" s="5">
        <f t="shared" si="22"/>
        <v>1775.1466240511386</v>
      </c>
      <c r="X13" s="5">
        <f t="shared" si="23"/>
        <v>1764.2847128899866</v>
      </c>
      <c r="Y13" s="61">
        <f t="shared" si="24"/>
        <v>1775.1466240511386</v>
      </c>
      <c r="Z13" s="53">
        <v>4.1477499727599607E-2</v>
      </c>
      <c r="AA13" s="53">
        <v>4.1513819779900485E-2</v>
      </c>
      <c r="AB13" s="53">
        <v>4.1441179675298735E-2</v>
      </c>
      <c r="AC13" s="53">
        <v>4.1550139832201356E-2</v>
      </c>
      <c r="AD13" s="53">
        <v>4.1332219518396107E-2</v>
      </c>
      <c r="AE13" s="53">
        <v>4.1295899466095229E-2</v>
      </c>
      <c r="AF13" s="53">
        <v>4.1259579413794358E-2</v>
      </c>
      <c r="AG13" s="53">
        <v>4.1586459884502235E-2</v>
      </c>
      <c r="AH13" s="53">
        <v>4.1622779936803106E-2</v>
      </c>
      <c r="AI13" s="53">
        <v>4.1659099989103984E-2</v>
      </c>
      <c r="AJ13" s="53">
        <v>4.1768060146006612E-2</v>
      </c>
      <c r="AK13" s="53">
        <v>4.1804380198307484E-2</v>
      </c>
      <c r="AL13" s="53">
        <v>4.2203900773617117E-2</v>
      </c>
      <c r="AM13" s="53">
        <v>4.1877020302909233E-2</v>
      </c>
      <c r="AN13" s="53">
        <v>4.1550139832201356E-2</v>
      </c>
      <c r="AO13" s="53">
        <v>4.1513819779900485E-2</v>
      </c>
      <c r="AP13" s="53">
        <v>4.1913340355210112E-2</v>
      </c>
      <c r="AQ13" s="53">
        <v>4.2276540878218867E-2</v>
      </c>
      <c r="AR13" s="53">
        <v>4.2530781244324994E-2</v>
      </c>
      <c r="AS13" s="53">
        <v>4.1877020302909233E-2</v>
      </c>
      <c r="AT13" s="53">
        <v>4.1550139832201356E-2</v>
      </c>
      <c r="AU13" s="53">
        <v>4.1550139832201356E-2</v>
      </c>
      <c r="AV13" s="53">
        <v>4.1295899466095229E-2</v>
      </c>
      <c r="AW13" s="53">
        <v>4.1550139832201356E-2</v>
      </c>
      <c r="AX13" s="53">
        <v>9.4</v>
      </c>
      <c r="AY13" s="55"/>
      <c r="AZ13" s="36">
        <v>5.22</v>
      </c>
      <c r="BA13" s="36">
        <v>5.41</v>
      </c>
      <c r="BB13" s="37">
        <v>6.01</v>
      </c>
      <c r="BC13" s="37">
        <v>6.12</v>
      </c>
      <c r="BD13" s="37">
        <v>7.53</v>
      </c>
      <c r="BE13" s="37">
        <v>8.26</v>
      </c>
      <c r="BF13" s="37">
        <v>9.4</v>
      </c>
      <c r="BG13" s="37">
        <v>9.42</v>
      </c>
      <c r="BH13" s="37">
        <v>9.4</v>
      </c>
      <c r="BI13" s="37">
        <v>9.24</v>
      </c>
      <c r="BJ13" s="37">
        <v>8.18</v>
      </c>
      <c r="BK13" s="37">
        <v>6.64</v>
      </c>
    </row>
    <row r="14" spans="1:63" s="13" customFormat="1" x14ac:dyDescent="0.35">
      <c r="A14" s="12" t="s">
        <v>156</v>
      </c>
      <c r="B14" s="52">
        <f t="shared" si="1"/>
        <v>4543.6418122665382</v>
      </c>
      <c r="C14" s="52">
        <f t="shared" si="2"/>
        <v>4536.7084829497526</v>
      </c>
      <c r="D14" s="52">
        <f t="shared" si="3"/>
        <v>4534.3973731774913</v>
      </c>
      <c r="E14" s="52">
        <f t="shared" si="4"/>
        <v>4543.6418122665382</v>
      </c>
      <c r="F14" s="52">
        <f t="shared" si="5"/>
        <v>4550.5751415833229</v>
      </c>
      <c r="G14" s="52">
        <f t="shared" si="6"/>
        <v>4555.1973611278463</v>
      </c>
      <c r="H14" s="52">
        <f t="shared" si="7"/>
        <v>4562.1306904446319</v>
      </c>
      <c r="I14" s="52">
        <f t="shared" si="8"/>
        <v>4566.7529099891553</v>
      </c>
      <c r="J14" s="52">
        <f t="shared" si="9"/>
        <v>4961.9526810459092</v>
      </c>
      <c r="K14" s="52">
        <f t="shared" si="10"/>
        <v>6175.2853114833115</v>
      </c>
      <c r="L14" s="52">
        <f t="shared" si="11"/>
        <v>6045.8631642366554</v>
      </c>
      <c r="M14" s="52">
        <f t="shared" si="12"/>
        <v>4941.1526930955533</v>
      </c>
      <c r="N14" s="52">
        <f t="shared" si="13"/>
        <v>4737.7750331365232</v>
      </c>
      <c r="O14" s="52">
        <f t="shared" si="14"/>
        <v>4804.7972165321125</v>
      </c>
      <c r="P14" s="52">
        <f t="shared" si="15"/>
        <v>4874.130509699964</v>
      </c>
      <c r="Q14" s="52">
        <f t="shared" si="16"/>
        <v>4860.2638510663937</v>
      </c>
      <c r="R14" s="52">
        <f t="shared" si="17"/>
        <v>4851.0194119773469</v>
      </c>
      <c r="S14" s="52">
        <f t="shared" si="18"/>
        <v>4885.6860585612721</v>
      </c>
      <c r="T14" s="52">
        <f t="shared" si="19"/>
        <v>4871.8193999277028</v>
      </c>
      <c r="U14" s="52">
        <f t="shared" si="20"/>
        <v>4760.8861308591404</v>
      </c>
      <c r="V14" s="52">
        <f t="shared" si="21"/>
        <v>4485.8640679599957</v>
      </c>
      <c r="W14" s="52">
        <f t="shared" si="22"/>
        <v>4555.1973611278463</v>
      </c>
      <c r="X14" s="52">
        <f t="shared" si="23"/>
        <v>4439.6418725147605</v>
      </c>
      <c r="Y14" s="62">
        <f t="shared" si="24"/>
        <v>4435.0196529702371</v>
      </c>
      <c r="Z14" s="53">
        <v>3.9482668594609791E-2</v>
      </c>
      <c r="AA14" s="53">
        <v>3.942242037193236E-2</v>
      </c>
      <c r="AB14" s="53">
        <v>3.9402337631039883E-2</v>
      </c>
      <c r="AC14" s="53">
        <v>3.9482668594609791E-2</v>
      </c>
      <c r="AD14" s="53">
        <v>3.9542916817287221E-2</v>
      </c>
      <c r="AE14" s="53">
        <v>3.9583082299072175E-2</v>
      </c>
      <c r="AF14" s="53">
        <v>3.9643330521749606E-2</v>
      </c>
      <c r="AG14" s="53">
        <v>3.968349600353456E-2</v>
      </c>
      <c r="AH14" s="53">
        <v>4.3117644696148129E-2</v>
      </c>
      <c r="AI14" s="53">
        <v>5.3661083664698558E-2</v>
      </c>
      <c r="AJ14" s="53">
        <v>5.2536450174719848E-2</v>
      </c>
      <c r="AK14" s="53">
        <v>4.2936900028115836E-2</v>
      </c>
      <c r="AL14" s="53">
        <v>4.1169618829577863E-2</v>
      </c>
      <c r="AM14" s="53">
        <v>4.1752018315459695E-2</v>
      </c>
      <c r="AN14" s="53">
        <v>4.2354500542234004E-2</v>
      </c>
      <c r="AO14" s="53">
        <v>4.2234004096879142E-2</v>
      </c>
      <c r="AP14" s="53">
        <v>4.2153673133309234E-2</v>
      </c>
      <c r="AQ14" s="53">
        <v>4.2454914246696389E-2</v>
      </c>
      <c r="AR14" s="53">
        <v>4.2334417801341527E-2</v>
      </c>
      <c r="AS14" s="53">
        <v>4.1370446238502633E-2</v>
      </c>
      <c r="AT14" s="53">
        <v>3.8980600072297866E-2</v>
      </c>
      <c r="AU14" s="53">
        <v>3.9583082299072175E-2</v>
      </c>
      <c r="AV14" s="53">
        <v>3.8578945254448327E-2</v>
      </c>
      <c r="AW14" s="53">
        <v>3.8538779772663373E-2</v>
      </c>
      <c r="AX14" s="52">
        <v>25.32</v>
      </c>
      <c r="AY14" s="69"/>
      <c r="BF14" s="13">
        <v>25.32</v>
      </c>
      <c r="BG14" s="13">
        <v>25.09</v>
      </c>
      <c r="BH14" s="13">
        <v>24.92</v>
      </c>
      <c r="BI14" s="13">
        <v>21.76</v>
      </c>
      <c r="BJ14" s="13">
        <v>18.079999999999998</v>
      </c>
      <c r="BK14" s="13">
        <v>14.48</v>
      </c>
    </row>
    <row r="15" spans="1:63" s="6" customFormat="1" x14ac:dyDescent="0.35">
      <c r="A15" s="14" t="s">
        <v>157</v>
      </c>
      <c r="B15" s="53">
        <f t="shared" si="1"/>
        <v>330.94249845009307</v>
      </c>
      <c r="C15" s="53">
        <f t="shared" si="2"/>
        <v>295.56588654680718</v>
      </c>
      <c r="D15" s="53">
        <f t="shared" si="3"/>
        <v>292.14234345939246</v>
      </c>
      <c r="E15" s="53">
        <f t="shared" si="4"/>
        <v>281.87171419714821</v>
      </c>
      <c r="F15" s="53">
        <f t="shared" si="5"/>
        <v>306.97769683818973</v>
      </c>
      <c r="G15" s="53">
        <f t="shared" si="6"/>
        <v>300.13061066336024</v>
      </c>
      <c r="H15" s="53">
        <f t="shared" si="7"/>
        <v>310.4012399256045</v>
      </c>
      <c r="I15" s="53">
        <f t="shared" si="8"/>
        <v>443.91942033477989</v>
      </c>
      <c r="J15" s="53">
        <f t="shared" si="9"/>
        <v>564.88460942343465</v>
      </c>
      <c r="K15" s="53">
        <f t="shared" si="10"/>
        <v>623.08484190948548</v>
      </c>
      <c r="L15" s="53">
        <f t="shared" si="11"/>
        <v>631.07310911345326</v>
      </c>
      <c r="M15" s="53">
        <f t="shared" si="12"/>
        <v>631.07310911345326</v>
      </c>
      <c r="N15" s="53">
        <f t="shared" si="13"/>
        <v>629.93192808431502</v>
      </c>
      <c r="O15" s="53">
        <f t="shared" si="14"/>
        <v>625.36720396776195</v>
      </c>
      <c r="P15" s="53">
        <f t="shared" si="15"/>
        <v>620.802479851209</v>
      </c>
      <c r="Q15" s="53">
        <f t="shared" si="16"/>
        <v>535.21390266584012</v>
      </c>
      <c r="R15" s="53">
        <f t="shared" si="17"/>
        <v>531.79035957842541</v>
      </c>
      <c r="S15" s="53">
        <f t="shared" si="18"/>
        <v>552.33161810291392</v>
      </c>
      <c r="T15" s="53">
        <f t="shared" si="19"/>
        <v>505.54319590824548</v>
      </c>
      <c r="U15" s="53">
        <f t="shared" si="20"/>
        <v>490.70784252944827</v>
      </c>
      <c r="V15" s="53">
        <f t="shared" si="21"/>
        <v>451.90768753874767</v>
      </c>
      <c r="W15" s="53">
        <f t="shared" si="22"/>
        <v>451.90768753874767</v>
      </c>
      <c r="X15" s="53">
        <f t="shared" si="23"/>
        <v>348.06021388716681</v>
      </c>
      <c r="Y15" s="61">
        <f t="shared" si="24"/>
        <v>288.71880037197769</v>
      </c>
      <c r="Z15" s="51">
        <v>2.9964868774540195E-2</v>
      </c>
      <c r="AA15" s="51">
        <v>2.6761727629675554E-2</v>
      </c>
      <c r="AB15" s="51">
        <v>2.6451746228559621E-2</v>
      </c>
      <c r="AC15" s="51">
        <v>2.5521802025211822E-2</v>
      </c>
      <c r="AD15" s="51">
        <v>2.7794998966728664E-2</v>
      </c>
      <c r="AE15" s="51">
        <v>2.7175036164496798E-2</v>
      </c>
      <c r="AF15" s="51">
        <v>2.8104980367844597E-2</v>
      </c>
      <c r="AG15" s="51">
        <v>4.0194255011365983E-2</v>
      </c>
      <c r="AH15" s="51">
        <v>5.1146931184128955E-2</v>
      </c>
      <c r="AI15" s="51">
        <v>5.6416615003099815E-2</v>
      </c>
      <c r="AJ15" s="51">
        <v>5.7139904939036992E-2</v>
      </c>
      <c r="AK15" s="51">
        <v>5.7139904939036992E-2</v>
      </c>
      <c r="AL15" s="51">
        <v>5.7036577805331681E-2</v>
      </c>
      <c r="AM15" s="51">
        <v>5.6623269270510437E-2</v>
      </c>
      <c r="AN15" s="51">
        <v>5.6209960735689193E-2</v>
      </c>
      <c r="AO15" s="51">
        <v>4.8460425707790869E-2</v>
      </c>
      <c r="AP15" s="51">
        <v>4.8150444306674936E-2</v>
      </c>
      <c r="AQ15" s="51">
        <v>5.0010332713370534E-2</v>
      </c>
      <c r="AR15" s="51">
        <v>4.5773920231452776E-2</v>
      </c>
      <c r="AS15" s="51">
        <v>4.4430667493283733E-2</v>
      </c>
      <c r="AT15" s="51">
        <v>4.091754494730316E-2</v>
      </c>
      <c r="AU15" s="51">
        <v>4.091754494730316E-2</v>
      </c>
      <c r="AV15" s="51">
        <v>3.1514775780119859E-2</v>
      </c>
      <c r="AW15" s="51">
        <v>2.6141764827443688E-2</v>
      </c>
      <c r="AX15" s="55">
        <v>2.4300000000000002</v>
      </c>
      <c r="AY15" s="55"/>
      <c r="BF15" s="15">
        <v>2.4300000000000002</v>
      </c>
      <c r="BG15" s="15">
        <v>2.4700000000000002</v>
      </c>
      <c r="BH15" s="15">
        <v>2.42</v>
      </c>
      <c r="BI15" s="15">
        <v>2.19</v>
      </c>
      <c r="BJ15" s="15">
        <v>2.08</v>
      </c>
      <c r="BK15" s="15">
        <v>1.99</v>
      </c>
    </row>
    <row r="16" spans="1:63" s="9" customFormat="1" x14ac:dyDescent="0.35">
      <c r="A16" s="7" t="s">
        <v>158</v>
      </c>
      <c r="B16" s="54">
        <v>0</v>
      </c>
      <c r="C16" s="54">
        <v>0</v>
      </c>
      <c r="D16" s="54">
        <v>0</v>
      </c>
      <c r="E16" s="54">
        <v>0</v>
      </c>
      <c r="F16" s="54">
        <v>0</v>
      </c>
      <c r="G16" s="54">
        <v>0</v>
      </c>
      <c r="H16" s="54">
        <v>0</v>
      </c>
      <c r="I16" s="54">
        <v>0</v>
      </c>
      <c r="J16" s="54">
        <v>0</v>
      </c>
      <c r="K16" s="54">
        <v>0</v>
      </c>
      <c r="L16" s="54">
        <v>0</v>
      </c>
      <c r="M16" s="54">
        <v>0</v>
      </c>
      <c r="N16" s="54">
        <v>0</v>
      </c>
      <c r="O16" s="54">
        <v>0</v>
      </c>
      <c r="P16" s="54">
        <v>65</v>
      </c>
      <c r="Q16" s="54">
        <v>175.99999999999997</v>
      </c>
      <c r="R16" s="54">
        <v>175.99999999999997</v>
      </c>
      <c r="S16" s="54">
        <v>175.99999999999997</v>
      </c>
      <c r="T16" s="54">
        <v>175.99999999999997</v>
      </c>
      <c r="U16" s="54">
        <v>175.99999999999997</v>
      </c>
      <c r="V16" s="54">
        <v>174</v>
      </c>
      <c r="W16" s="54">
        <v>174</v>
      </c>
      <c r="X16" s="54">
        <v>174</v>
      </c>
      <c r="Y16" s="63">
        <v>174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3.9609993906154786E-2</v>
      </c>
      <c r="AO16" s="8">
        <v>0.10725167580743449</v>
      </c>
      <c r="AP16" s="8">
        <v>0.10725167580743449</v>
      </c>
      <c r="AQ16" s="8">
        <v>0.10725167580743449</v>
      </c>
      <c r="AR16" s="8">
        <v>0.10725167580743449</v>
      </c>
      <c r="AS16" s="8">
        <v>0.10725167580743449</v>
      </c>
      <c r="AT16" s="8">
        <v>0.10603290676416818</v>
      </c>
      <c r="AU16" s="8">
        <v>0.10603290676416818</v>
      </c>
      <c r="AV16" s="8">
        <v>0.10603290676416818</v>
      </c>
      <c r="AW16" s="8">
        <v>0.10603290676416818</v>
      </c>
      <c r="AX16" s="8">
        <v>2.1</v>
      </c>
      <c r="AY16" s="54"/>
      <c r="BF16" s="9">
        <v>2.1</v>
      </c>
      <c r="BG16" s="9">
        <v>2.1</v>
      </c>
      <c r="BH16" s="9">
        <v>2.1</v>
      </c>
      <c r="BI16" s="9">
        <v>2.1</v>
      </c>
      <c r="BJ16" s="9">
        <v>2.1</v>
      </c>
      <c r="BK16" s="9">
        <v>2.1</v>
      </c>
    </row>
    <row r="17" spans="1:63" s="11" customFormat="1" x14ac:dyDescent="0.35">
      <c r="A17" s="10" t="s">
        <v>159</v>
      </c>
      <c r="B17" s="51">
        <f t="shared" si="1"/>
        <v>283.58953395737905</v>
      </c>
      <c r="C17" s="51">
        <f t="shared" si="2"/>
        <v>292.40163811989646</v>
      </c>
      <c r="D17" s="51">
        <f t="shared" si="3"/>
        <v>273.97632941645088</v>
      </c>
      <c r="E17" s="51">
        <f t="shared" si="4"/>
        <v>284.39063433578968</v>
      </c>
      <c r="F17" s="51">
        <f t="shared" si="5"/>
        <v>269.97082752439752</v>
      </c>
      <c r="G17" s="51">
        <f t="shared" si="6"/>
        <v>290.79943736307513</v>
      </c>
      <c r="H17" s="51">
        <f t="shared" si="7"/>
        <v>324.4456532563234</v>
      </c>
      <c r="I17" s="51">
        <f t="shared" si="8"/>
        <v>414.1688956383191</v>
      </c>
      <c r="J17" s="51">
        <f t="shared" si="9"/>
        <v>479.85912666799447</v>
      </c>
      <c r="K17" s="51">
        <f t="shared" si="10"/>
        <v>547.15155845449112</v>
      </c>
      <c r="L17" s="51">
        <f t="shared" si="11"/>
        <v>468.64372137024498</v>
      </c>
      <c r="M17" s="51">
        <f t="shared" si="12"/>
        <v>411.76559450308702</v>
      </c>
      <c r="N17" s="51">
        <f t="shared" si="13"/>
        <v>396.54468731328421</v>
      </c>
      <c r="O17" s="51">
        <f t="shared" si="14"/>
        <v>365.30177255526792</v>
      </c>
      <c r="P17" s="51">
        <f t="shared" si="15"/>
        <v>343.67206233817967</v>
      </c>
      <c r="Q17" s="51">
        <f t="shared" si="16"/>
        <v>332.45665704043017</v>
      </c>
      <c r="R17" s="51">
        <f t="shared" si="17"/>
        <v>231.51800936068514</v>
      </c>
      <c r="S17" s="51">
        <f t="shared" si="18"/>
        <v>108.14855108544114</v>
      </c>
      <c r="T17" s="51">
        <f t="shared" si="19"/>
        <v>334.05885779725156</v>
      </c>
      <c r="U17" s="51">
        <f t="shared" si="20"/>
        <v>341.26876120294764</v>
      </c>
      <c r="V17" s="51">
        <f t="shared" si="21"/>
        <v>314.83244871539534</v>
      </c>
      <c r="W17" s="51">
        <f t="shared" si="22"/>
        <v>312.42914758016332</v>
      </c>
      <c r="X17" s="51">
        <f t="shared" si="23"/>
        <v>315.63354909380598</v>
      </c>
      <c r="Y17" s="60">
        <f t="shared" si="24"/>
        <v>307.62254530969932</v>
      </c>
      <c r="Z17" s="51">
        <v>3.5251941844254134E-2</v>
      </c>
      <c r="AA17" s="51">
        <v>3.6347341167098188E-2</v>
      </c>
      <c r="AB17" s="51">
        <v>3.405696076478789E-2</v>
      </c>
      <c r="AC17" s="51">
        <v>3.5351523600876317E-2</v>
      </c>
      <c r="AD17" s="51">
        <v>3.3559051981676954E-2</v>
      </c>
      <c r="AE17" s="51">
        <v>3.6148177653853815E-2</v>
      </c>
      <c r="AF17" s="51">
        <v>4.0330611431985658E-2</v>
      </c>
      <c r="AG17" s="51">
        <v>5.1483768173670584E-2</v>
      </c>
      <c r="AH17" s="51">
        <v>5.9649472216689904E-2</v>
      </c>
      <c r="AI17" s="51">
        <v>6.8014339772953597E-2</v>
      </c>
      <c r="AJ17" s="51">
        <v>5.8255327623979287E-2</v>
      </c>
      <c r="AK17" s="51">
        <v>5.1185022903804021E-2</v>
      </c>
      <c r="AL17" s="51">
        <v>4.9292969527982476E-2</v>
      </c>
      <c r="AM17" s="51">
        <v>4.5409281019717189E-2</v>
      </c>
      <c r="AN17" s="51">
        <v>4.2720573590918146E-2</v>
      </c>
      <c r="AO17" s="51">
        <v>4.1326428998207529E-2</v>
      </c>
      <c r="AP17" s="51">
        <v>2.877912766381199E-2</v>
      </c>
      <c r="AQ17" s="51">
        <v>1.344353714399522E-2</v>
      </c>
      <c r="AR17" s="51">
        <v>4.1525592511451902E-2</v>
      </c>
      <c r="AS17" s="51">
        <v>4.2421828321051583E-2</v>
      </c>
      <c r="AT17" s="51">
        <v>3.9135630352519421E-2</v>
      </c>
      <c r="AU17" s="51">
        <v>3.8836885082652858E-2</v>
      </c>
      <c r="AV17" s="51">
        <v>3.9235212109141604E-2</v>
      </c>
      <c r="AW17" s="51">
        <v>3.823939454291974E-2</v>
      </c>
      <c r="AX17" s="51">
        <v>1.77</v>
      </c>
      <c r="AY17" s="68"/>
      <c r="BF17" s="11">
        <v>1.77</v>
      </c>
      <c r="BG17" s="11">
        <v>1.77</v>
      </c>
      <c r="BH17" s="11">
        <v>1.75</v>
      </c>
      <c r="BI17" s="11">
        <v>1.61</v>
      </c>
      <c r="BJ17" s="11">
        <v>1.52</v>
      </c>
      <c r="BK17" s="11">
        <v>1.4</v>
      </c>
    </row>
    <row r="18" spans="1:63" s="13" customFormat="1" x14ac:dyDescent="0.35">
      <c r="A18" s="12" t="s">
        <v>160</v>
      </c>
      <c r="B18" s="52">
        <f t="shared" si="1"/>
        <v>0</v>
      </c>
      <c r="C18" s="52">
        <f t="shared" si="2"/>
        <v>0</v>
      </c>
      <c r="D18" s="52">
        <f t="shared" si="3"/>
        <v>0</v>
      </c>
      <c r="E18" s="52">
        <f t="shared" si="4"/>
        <v>0</v>
      </c>
      <c r="F18" s="52">
        <f t="shared" si="5"/>
        <v>0</v>
      </c>
      <c r="G18" s="52">
        <f t="shared" si="6"/>
        <v>0</v>
      </c>
      <c r="H18" s="52">
        <f t="shared" si="7"/>
        <v>0</v>
      </c>
      <c r="I18" s="52">
        <f t="shared" si="8"/>
        <v>0</v>
      </c>
      <c r="J18" s="52">
        <f t="shared" si="9"/>
        <v>0</v>
      </c>
      <c r="K18" s="52">
        <f t="shared" si="10"/>
        <v>0</v>
      </c>
      <c r="L18" s="52">
        <f t="shared" si="11"/>
        <v>0</v>
      </c>
      <c r="M18" s="52">
        <f t="shared" si="12"/>
        <v>0</v>
      </c>
      <c r="N18" s="52">
        <f t="shared" si="13"/>
        <v>0</v>
      </c>
      <c r="O18" s="52">
        <f t="shared" si="14"/>
        <v>0</v>
      </c>
      <c r="P18" s="52">
        <f t="shared" si="15"/>
        <v>0</v>
      </c>
      <c r="Q18" s="52">
        <f t="shared" si="16"/>
        <v>0</v>
      </c>
      <c r="R18" s="52">
        <f t="shared" si="17"/>
        <v>0</v>
      </c>
      <c r="S18" s="52">
        <f t="shared" si="18"/>
        <v>0</v>
      </c>
      <c r="T18" s="52">
        <f t="shared" si="19"/>
        <v>0</v>
      </c>
      <c r="U18" s="52">
        <f t="shared" si="20"/>
        <v>0</v>
      </c>
      <c r="V18" s="52">
        <f t="shared" si="21"/>
        <v>0</v>
      </c>
      <c r="W18" s="52">
        <f t="shared" si="22"/>
        <v>0</v>
      </c>
      <c r="X18" s="52">
        <f t="shared" si="23"/>
        <v>0</v>
      </c>
      <c r="Y18" s="62">
        <f t="shared" si="24"/>
        <v>0</v>
      </c>
      <c r="Z18" s="52">
        <v>0</v>
      </c>
      <c r="AA18" s="52">
        <v>0</v>
      </c>
      <c r="AB18" s="52">
        <v>0</v>
      </c>
      <c r="AC18" s="52">
        <v>0</v>
      </c>
      <c r="AD18" s="52">
        <v>0</v>
      </c>
      <c r="AE18" s="52">
        <v>0</v>
      </c>
      <c r="AF18" s="52">
        <v>0</v>
      </c>
      <c r="AG18" s="52">
        <v>0</v>
      </c>
      <c r="AH18" s="52">
        <v>0</v>
      </c>
      <c r="AI18" s="52">
        <v>0</v>
      </c>
      <c r="AJ18" s="52">
        <v>0</v>
      </c>
      <c r="AK18" s="52">
        <v>0</v>
      </c>
      <c r="AL18" s="52">
        <v>0</v>
      </c>
      <c r="AM18" s="52">
        <v>0</v>
      </c>
      <c r="AN18" s="52">
        <v>0</v>
      </c>
      <c r="AO18" s="52">
        <v>0</v>
      </c>
      <c r="AP18" s="52">
        <v>0</v>
      </c>
      <c r="AQ18" s="52">
        <v>0</v>
      </c>
      <c r="AR18" s="52">
        <v>0</v>
      </c>
      <c r="AS18" s="52">
        <v>0</v>
      </c>
      <c r="AT18" s="52">
        <v>0</v>
      </c>
      <c r="AU18" s="52">
        <v>0</v>
      </c>
      <c r="AV18" s="52">
        <v>0</v>
      </c>
      <c r="AW18" s="52">
        <v>0</v>
      </c>
      <c r="AX18" s="52">
        <v>0</v>
      </c>
      <c r="AY18" s="69"/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</row>
    <row r="19" spans="1:63" s="9" customFormat="1" x14ac:dyDescent="0.35">
      <c r="A19" s="7" t="s">
        <v>161</v>
      </c>
      <c r="B19" s="8">
        <f t="shared" si="1"/>
        <v>5152.5789058295095</v>
      </c>
      <c r="C19" s="8">
        <f t="shared" si="2"/>
        <v>4994.9706098864899</v>
      </c>
      <c r="D19" s="8">
        <f t="shared" si="3"/>
        <v>4885.8571742336298</v>
      </c>
      <c r="E19" s="8">
        <f t="shared" si="4"/>
        <v>3746.227957414867</v>
      </c>
      <c r="F19" s="8">
        <f t="shared" si="5"/>
        <v>4716.1251632180692</v>
      </c>
      <c r="G19" s="8">
        <f t="shared" si="6"/>
        <v>4885.8571742336298</v>
      </c>
      <c r="H19" s="8">
        <f t="shared" si="7"/>
        <v>5007.0943249590291</v>
      </c>
      <c r="I19" s="8">
        <f t="shared" si="8"/>
        <v>5585.6986267960028</v>
      </c>
      <c r="J19" s="8">
        <f t="shared" si="9"/>
        <v>5573.5749117234618</v>
      </c>
      <c r="K19" s="8">
        <f t="shared" si="10"/>
        <v>5525.0800514333023</v>
      </c>
      <c r="L19" s="8">
        <f t="shared" si="11"/>
        <v>5512.9563363607622</v>
      </c>
      <c r="M19" s="8">
        <f t="shared" si="12"/>
        <v>5537.2037665058415</v>
      </c>
      <c r="N19" s="8">
        <f t="shared" si="13"/>
        <v>5525.0800514333023</v>
      </c>
      <c r="O19" s="8">
        <f t="shared" si="14"/>
        <v>5440.2140459255224</v>
      </c>
      <c r="P19" s="8">
        <f t="shared" si="15"/>
        <v>5201.0737661196699</v>
      </c>
      <c r="Q19" s="8">
        <f t="shared" si="16"/>
        <v>5176.8263359745897</v>
      </c>
      <c r="R19" s="8">
        <f t="shared" si="17"/>
        <v>5201.0737661196699</v>
      </c>
      <c r="S19" s="8">
        <f t="shared" si="18"/>
        <v>5225.3211962647492</v>
      </c>
      <c r="T19" s="8">
        <f t="shared" si="19"/>
        <v>5407.1769223528499</v>
      </c>
      <c r="U19" s="8">
        <f t="shared" si="20"/>
        <v>5370.8057771352305</v>
      </c>
      <c r="V19" s="8">
        <f t="shared" si="21"/>
        <v>5443.5480675704703</v>
      </c>
      <c r="W19" s="8">
        <f t="shared" si="22"/>
        <v>5455.6717826430104</v>
      </c>
      <c r="X19" s="8">
        <f t="shared" si="23"/>
        <v>5528.414073078251</v>
      </c>
      <c r="Y19" s="59">
        <f t="shared" si="24"/>
        <v>5479.9192127880906</v>
      </c>
      <c r="Z19" s="53">
        <v>4.1030789987521812E-2</v>
      </c>
      <c r="AA19" s="53">
        <v>3.977573052907997E-2</v>
      </c>
      <c r="AB19" s="53">
        <v>3.8906843211697156E-2</v>
      </c>
      <c r="AC19" s="53">
        <v>2.9831797896809977E-2</v>
      </c>
      <c r="AD19" s="53">
        <v>3.7555240717990553E-2</v>
      </c>
      <c r="AE19" s="53">
        <v>3.8906843211697156E-2</v>
      </c>
      <c r="AF19" s="53">
        <v>3.9872273564344723E-2</v>
      </c>
      <c r="AG19" s="53">
        <v>4.4479789922355267E-2</v>
      </c>
      <c r="AH19" s="53">
        <v>4.4383246887090506E-2</v>
      </c>
      <c r="AI19" s="53">
        <v>4.3997074746031477E-2</v>
      </c>
      <c r="AJ19" s="53">
        <v>4.3900531710766723E-2</v>
      </c>
      <c r="AK19" s="53">
        <v>4.4093617781296238E-2</v>
      </c>
      <c r="AL19" s="53">
        <v>4.3997074746031477E-2</v>
      </c>
      <c r="AM19" s="53">
        <v>4.3321273499178178E-2</v>
      </c>
      <c r="AN19" s="53">
        <v>4.1416962128580842E-2</v>
      </c>
      <c r="AO19" s="53">
        <v>4.1223876058051327E-2</v>
      </c>
      <c r="AP19" s="53">
        <v>4.1416962128580842E-2</v>
      </c>
      <c r="AQ19" s="53">
        <v>4.1610048199110357E-2</v>
      </c>
      <c r="AR19" s="53">
        <v>4.3058193728081715E-2</v>
      </c>
      <c r="AS19" s="53">
        <v>4.2768564622287446E-2</v>
      </c>
      <c r="AT19" s="53">
        <v>4.3347822833875983E-2</v>
      </c>
      <c r="AU19" s="53">
        <v>4.3444365869140744E-2</v>
      </c>
      <c r="AV19" s="53">
        <v>4.4023624080729289E-2</v>
      </c>
      <c r="AW19" s="53">
        <v>4.3637451939670259E-2</v>
      </c>
      <c r="AX19" s="8">
        <v>27.63</v>
      </c>
      <c r="AY19" s="54"/>
      <c r="BF19" s="9">
        <v>27.63</v>
      </c>
      <c r="BG19" s="9">
        <v>28.68</v>
      </c>
      <c r="BH19" s="9">
        <v>27.77</v>
      </c>
      <c r="BI19" s="9">
        <v>26.68</v>
      </c>
      <c r="BJ19" s="9">
        <v>25.98</v>
      </c>
      <c r="BK19" s="9">
        <v>25.83</v>
      </c>
    </row>
    <row r="20" spans="1:63" x14ac:dyDescent="0.35">
      <c r="A20" s="16" t="s">
        <v>162</v>
      </c>
      <c r="B20" s="5">
        <f t="shared" si="1"/>
        <v>2622.6803739247175</v>
      </c>
      <c r="C20" s="5">
        <f t="shared" si="2"/>
        <v>2623.8103525433839</v>
      </c>
      <c r="D20" s="5">
        <f t="shared" si="3"/>
        <v>2622.6803739247175</v>
      </c>
      <c r="E20" s="5">
        <f t="shared" si="4"/>
        <v>2621.5503953060511</v>
      </c>
      <c r="F20" s="5">
        <f t="shared" si="5"/>
        <v>2621.5503953060511</v>
      </c>
      <c r="G20" s="5">
        <f t="shared" si="6"/>
        <v>2606.860673263388</v>
      </c>
      <c r="H20" s="5">
        <f t="shared" si="7"/>
        <v>2649.7998607727113</v>
      </c>
      <c r="I20" s="5">
        <f t="shared" si="8"/>
        <v>2985.4035105166331</v>
      </c>
      <c r="J20" s="5">
        <f t="shared" si="9"/>
        <v>2988.7934463726319</v>
      </c>
      <c r="K20" s="5">
        <f t="shared" si="10"/>
        <v>3158.290239172592</v>
      </c>
      <c r="L20" s="5">
        <f t="shared" si="11"/>
        <v>3158.290239172592</v>
      </c>
      <c r="M20" s="5">
        <f t="shared" si="12"/>
        <v>3100.661329620606</v>
      </c>
      <c r="N20" s="5">
        <f t="shared" si="13"/>
        <v>3124.3908806125996</v>
      </c>
      <c r="O20" s="5">
        <f t="shared" si="14"/>
        <v>2935.6844512953112</v>
      </c>
      <c r="P20" s="5">
        <f t="shared" si="15"/>
        <v>2933.4244940579779</v>
      </c>
      <c r="Q20" s="5">
        <f t="shared" si="16"/>
        <v>2986.5334891352995</v>
      </c>
      <c r="R20" s="5">
        <f t="shared" si="17"/>
        <v>3026.0827407886236</v>
      </c>
      <c r="S20" s="5">
        <f t="shared" si="18"/>
        <v>3036.2525483566205</v>
      </c>
      <c r="T20" s="5">
        <f t="shared" si="19"/>
        <v>2797.8270598180102</v>
      </c>
      <c r="U20" s="5">
        <f t="shared" si="20"/>
        <v>2796.6970811993438</v>
      </c>
      <c r="V20" s="5">
        <f t="shared" si="21"/>
        <v>2797.8270598180102</v>
      </c>
      <c r="W20" s="5">
        <f t="shared" si="22"/>
        <v>2683.6992193327033</v>
      </c>
      <c r="X20" s="5">
        <f t="shared" si="23"/>
        <v>2648.6698821540449</v>
      </c>
      <c r="Y20" s="61">
        <f t="shared" si="24"/>
        <v>2647.5399035353785</v>
      </c>
      <c r="Z20" s="51">
        <v>3.8469825800142542E-2</v>
      </c>
      <c r="AA20" s="51">
        <v>3.8486400477350705E-2</v>
      </c>
      <c r="AB20" s="51">
        <v>3.8469825800142542E-2</v>
      </c>
      <c r="AC20" s="51">
        <v>3.8453251122934379E-2</v>
      </c>
      <c r="AD20" s="51">
        <v>3.8453251122934379E-2</v>
      </c>
      <c r="AE20" s="51">
        <v>3.8237780319228282E-2</v>
      </c>
      <c r="AF20" s="51">
        <v>3.8867618053138417E-2</v>
      </c>
      <c r="AG20" s="51">
        <v>4.3790297183962344E-2</v>
      </c>
      <c r="AH20" s="51">
        <v>4.3840021215586826E-2</v>
      </c>
      <c r="AI20" s="51">
        <v>4.6326222796811034E-2</v>
      </c>
      <c r="AJ20" s="51">
        <v>4.6326222796811034E-2</v>
      </c>
      <c r="AK20" s="51">
        <v>4.5480914259194802E-2</v>
      </c>
      <c r="AL20" s="51">
        <v>4.5828982480566188E-2</v>
      </c>
      <c r="AM20" s="51">
        <v>4.3061011386803245E-2</v>
      </c>
      <c r="AN20" s="51">
        <v>4.302786203238692E-2</v>
      </c>
      <c r="AO20" s="51">
        <v>4.3806871861170507E-2</v>
      </c>
      <c r="AP20" s="51">
        <v>4.4386985563456154E-2</v>
      </c>
      <c r="AQ20" s="51">
        <v>4.4536157658329606E-2</v>
      </c>
      <c r="AR20" s="51">
        <v>4.1038900767407557E-2</v>
      </c>
      <c r="AS20" s="51">
        <v>4.1022326090199394E-2</v>
      </c>
      <c r="AT20" s="51">
        <v>4.1038900767407557E-2</v>
      </c>
      <c r="AU20" s="51">
        <v>3.9364858369383256E-2</v>
      </c>
      <c r="AV20" s="51">
        <v>3.8851043375930254E-2</v>
      </c>
      <c r="AW20" s="51">
        <v>3.8834468698722091E-2</v>
      </c>
      <c r="AX20" s="55">
        <f>3+12</f>
        <v>15</v>
      </c>
      <c r="AY20" s="55"/>
      <c r="BF20" s="15">
        <f>3+12</f>
        <v>15</v>
      </c>
      <c r="BG20" s="15">
        <f>3+12</f>
        <v>15</v>
      </c>
      <c r="BH20" s="15">
        <f>3+12</f>
        <v>15</v>
      </c>
      <c r="BI20" s="15">
        <f>3+12</f>
        <v>15</v>
      </c>
      <c r="BJ20" s="15">
        <f>1.6+12</f>
        <v>13.6</v>
      </c>
      <c r="BK20" s="15">
        <f>1+12</f>
        <v>13</v>
      </c>
    </row>
    <row r="21" spans="1:63" x14ac:dyDescent="0.35">
      <c r="A21" s="16" t="s">
        <v>163</v>
      </c>
      <c r="B21" s="5">
        <f t="shared" si="1"/>
        <v>1053.6110940191975</v>
      </c>
      <c r="C21" s="5">
        <f t="shared" si="2"/>
        <v>1053.7509229633274</v>
      </c>
      <c r="D21" s="5">
        <f t="shared" si="3"/>
        <v>1053.7509229633274</v>
      </c>
      <c r="E21" s="5">
        <f t="shared" si="4"/>
        <v>1053.7509229633274</v>
      </c>
      <c r="F21" s="5">
        <f t="shared" si="5"/>
        <v>1053.6110940191975</v>
      </c>
      <c r="G21" s="5">
        <f t="shared" si="6"/>
        <v>1011.6624107802115</v>
      </c>
      <c r="H21" s="5">
        <f t="shared" si="7"/>
        <v>1053.6110940191975</v>
      </c>
      <c r="I21" s="5">
        <f t="shared" si="8"/>
        <v>1053.7509229633274</v>
      </c>
      <c r="J21" s="5">
        <f t="shared" si="9"/>
        <v>1180.1562884568052</v>
      </c>
      <c r="K21" s="5">
        <f t="shared" si="10"/>
        <v>1180.1562884568052</v>
      </c>
      <c r="L21" s="5">
        <f t="shared" si="11"/>
        <v>1348.7899950775288</v>
      </c>
      <c r="M21" s="5">
        <f t="shared" si="12"/>
        <v>1264.4731417671671</v>
      </c>
      <c r="N21" s="5">
        <f t="shared" si="13"/>
        <v>1264.3333128230372</v>
      </c>
      <c r="O21" s="5">
        <f t="shared" si="14"/>
        <v>1264.4731417671671</v>
      </c>
      <c r="P21" s="5">
        <f t="shared" si="15"/>
        <v>1222.3846295840513</v>
      </c>
      <c r="Q21" s="5">
        <f t="shared" si="16"/>
        <v>1180.1562884568052</v>
      </c>
      <c r="R21" s="5">
        <f t="shared" si="17"/>
        <v>1137.9279473295592</v>
      </c>
      <c r="S21" s="5">
        <f t="shared" si="18"/>
        <v>1222.3846295840513</v>
      </c>
      <c r="T21" s="5">
        <f t="shared" si="19"/>
        <v>1137.9279473295592</v>
      </c>
      <c r="U21" s="5">
        <f t="shared" si="20"/>
        <v>1138.0677762736893</v>
      </c>
      <c r="V21" s="5">
        <f t="shared" si="21"/>
        <v>1095.8394351464435</v>
      </c>
      <c r="W21" s="5">
        <f t="shared" si="22"/>
        <v>1095.8394351464435</v>
      </c>
      <c r="X21" s="5">
        <f t="shared" si="23"/>
        <v>1095.8394351464435</v>
      </c>
      <c r="Y21" s="61">
        <f t="shared" si="24"/>
        <v>1053.7509229633274</v>
      </c>
      <c r="Z21" s="53">
        <v>3.8636270407744686E-2</v>
      </c>
      <c r="AA21" s="53">
        <v>3.8641397981786854E-2</v>
      </c>
      <c r="AB21" s="53">
        <v>3.8641397981786854E-2</v>
      </c>
      <c r="AC21" s="53">
        <v>3.8641397981786854E-2</v>
      </c>
      <c r="AD21" s="53">
        <v>3.8636270407744686E-2</v>
      </c>
      <c r="AE21" s="53">
        <v>3.7097998195093934E-2</v>
      </c>
      <c r="AF21" s="53">
        <v>3.8636270407744686E-2</v>
      </c>
      <c r="AG21" s="53">
        <v>3.8641397981786854E-2</v>
      </c>
      <c r="AH21" s="53">
        <v>4.3276724915907783E-2</v>
      </c>
      <c r="AI21" s="53">
        <v>4.3276724915907783E-2</v>
      </c>
      <c r="AJ21" s="53">
        <v>4.94605792107638E-2</v>
      </c>
      <c r="AK21" s="53">
        <v>4.6368652063335791E-2</v>
      </c>
      <c r="AL21" s="53">
        <v>4.6363524489293623E-2</v>
      </c>
      <c r="AM21" s="53">
        <v>4.6368652063335791E-2</v>
      </c>
      <c r="AN21" s="53">
        <v>4.4825252276642871E-2</v>
      </c>
      <c r="AO21" s="53">
        <v>4.3276724915907783E-2</v>
      </c>
      <c r="AP21" s="53">
        <v>4.1728197555172694E-2</v>
      </c>
      <c r="AQ21" s="53">
        <v>4.4825252276642871E-2</v>
      </c>
      <c r="AR21" s="53">
        <v>4.1728197555172694E-2</v>
      </c>
      <c r="AS21" s="53">
        <v>4.1733325129214863E-2</v>
      </c>
      <c r="AT21" s="53">
        <v>4.0184797768479774E-2</v>
      </c>
      <c r="AU21" s="53">
        <v>4.0184797768479774E-2</v>
      </c>
      <c r="AV21" s="53">
        <v>4.0184797768479774E-2</v>
      </c>
      <c r="AW21" s="53">
        <v>3.8641397981786854E-2</v>
      </c>
      <c r="AX21" s="55">
        <v>6</v>
      </c>
      <c r="AY21" s="55"/>
      <c r="BF21" s="15">
        <v>6</v>
      </c>
      <c r="BG21" s="15">
        <v>5.5</v>
      </c>
      <c r="BH21" s="15">
        <v>5</v>
      </c>
      <c r="BI21" s="15">
        <v>4.5</v>
      </c>
      <c r="BJ21" s="15">
        <v>4</v>
      </c>
      <c r="BK21" s="15">
        <v>4</v>
      </c>
    </row>
    <row r="22" spans="1:63" x14ac:dyDescent="0.35">
      <c r="A22" s="16" t="s">
        <v>164</v>
      </c>
      <c r="B22" s="5">
        <f t="shared" si="1"/>
        <v>2363.3177673240457</v>
      </c>
      <c r="C22" s="5">
        <f t="shared" si="2"/>
        <v>2373.6831961280982</v>
      </c>
      <c r="D22" s="5">
        <f t="shared" si="3"/>
        <v>2415.1449113443095</v>
      </c>
      <c r="E22" s="5">
        <f t="shared" si="4"/>
        <v>2425.5103401483625</v>
      </c>
      <c r="F22" s="5">
        <f t="shared" si="5"/>
        <v>2435.8757689524155</v>
      </c>
      <c r="G22" s="5">
        <f t="shared" si="6"/>
        <v>2425.5103401483625</v>
      </c>
      <c r="H22" s="5">
        <f t="shared" si="7"/>
        <v>2425.5103401483625</v>
      </c>
      <c r="I22" s="5">
        <f t="shared" si="8"/>
        <v>2404.779482540257</v>
      </c>
      <c r="J22" s="5">
        <f t="shared" si="9"/>
        <v>2352.9523385199927</v>
      </c>
      <c r="K22" s="5">
        <f t="shared" si="10"/>
        <v>2342.5869097159402</v>
      </c>
      <c r="L22" s="5">
        <f t="shared" si="11"/>
        <v>2342.5869097159402</v>
      </c>
      <c r="M22" s="5">
        <f t="shared" si="12"/>
        <v>2332.2214809118868</v>
      </c>
      <c r="N22" s="5">
        <f t="shared" si="13"/>
        <v>2332.2214809118868</v>
      </c>
      <c r="O22" s="5">
        <f t="shared" si="14"/>
        <v>2363.3177673240457</v>
      </c>
      <c r="P22" s="5">
        <f t="shared" si="15"/>
        <v>2373.6831961280982</v>
      </c>
      <c r="Q22" s="5">
        <f t="shared" si="16"/>
        <v>2394.4140537362041</v>
      </c>
      <c r="R22" s="5">
        <f t="shared" si="17"/>
        <v>2384.0486249321511</v>
      </c>
      <c r="S22" s="5">
        <f t="shared" si="18"/>
        <v>2384.0486249321511</v>
      </c>
      <c r="T22" s="5">
        <f t="shared" si="19"/>
        <v>2373.6831961280982</v>
      </c>
      <c r="U22" s="5">
        <f t="shared" si="20"/>
        <v>2394.4140537362041</v>
      </c>
      <c r="V22" s="5">
        <f t="shared" si="21"/>
        <v>2394.4140537362041</v>
      </c>
      <c r="W22" s="5">
        <f t="shared" si="22"/>
        <v>2404.779482540257</v>
      </c>
      <c r="X22" s="5">
        <f t="shared" si="23"/>
        <v>2425.5103401483625</v>
      </c>
      <c r="Y22" s="61">
        <f t="shared" si="24"/>
        <v>2425.5103401483625</v>
      </c>
      <c r="Z22" s="53">
        <v>4.1252035462276099E-2</v>
      </c>
      <c r="AA22" s="53">
        <v>4.1432965442373799E-2</v>
      </c>
      <c r="AB22" s="53">
        <v>4.2156685362764609E-2</v>
      </c>
      <c r="AC22" s="53">
        <v>4.233761534286231E-2</v>
      </c>
      <c r="AD22" s="53">
        <v>4.2518545322960018E-2</v>
      </c>
      <c r="AE22" s="53">
        <v>4.233761534286231E-2</v>
      </c>
      <c r="AF22" s="53">
        <v>4.233761534286231E-2</v>
      </c>
      <c r="AG22" s="53">
        <v>4.1975755382666909E-2</v>
      </c>
      <c r="AH22" s="53">
        <v>4.1071105482178398E-2</v>
      </c>
      <c r="AI22" s="53">
        <v>4.0890175502080697E-2</v>
      </c>
      <c r="AJ22" s="53">
        <v>4.0890175502080697E-2</v>
      </c>
      <c r="AK22" s="53">
        <v>4.070924552198299E-2</v>
      </c>
      <c r="AL22" s="53">
        <v>4.070924552198299E-2</v>
      </c>
      <c r="AM22" s="53">
        <v>4.1252035462276099E-2</v>
      </c>
      <c r="AN22" s="53">
        <v>4.1432965442373799E-2</v>
      </c>
      <c r="AO22" s="53">
        <v>4.1794825402569208E-2</v>
      </c>
      <c r="AP22" s="53">
        <v>4.16138954224715E-2</v>
      </c>
      <c r="AQ22" s="53">
        <v>4.16138954224715E-2</v>
      </c>
      <c r="AR22" s="53">
        <v>4.1432965442373799E-2</v>
      </c>
      <c r="AS22" s="53">
        <v>4.1794825402569208E-2</v>
      </c>
      <c r="AT22" s="53">
        <v>4.1794825402569208E-2</v>
      </c>
      <c r="AU22" s="53">
        <v>4.1975755382666909E-2</v>
      </c>
      <c r="AV22" s="53">
        <v>4.233761534286231E-2</v>
      </c>
      <c r="AW22" s="53">
        <v>4.233761534286231E-2</v>
      </c>
      <c r="AX22" s="5">
        <v>12.605</v>
      </c>
      <c r="AY22" s="65"/>
      <c r="BF22">
        <v>12.605</v>
      </c>
      <c r="BG22">
        <v>12.78</v>
      </c>
      <c r="BH22">
        <v>11.234999999999999</v>
      </c>
      <c r="BI22">
        <v>12.255000000000001</v>
      </c>
      <c r="BJ22">
        <v>10.84</v>
      </c>
      <c r="BK22">
        <v>11.074999999999999</v>
      </c>
    </row>
    <row r="23" spans="1:63" x14ac:dyDescent="0.35">
      <c r="A23" s="16" t="s">
        <v>165</v>
      </c>
      <c r="B23" s="5">
        <f t="shared" si="1"/>
        <v>2365.9154770884402</v>
      </c>
      <c r="C23" s="5">
        <f t="shared" si="2"/>
        <v>2376.7187441071092</v>
      </c>
      <c r="D23" s="5">
        <f t="shared" si="3"/>
        <v>2419.9318121817837</v>
      </c>
      <c r="E23" s="5">
        <f t="shared" si="4"/>
        <v>2419.9318121817837</v>
      </c>
      <c r="F23" s="5">
        <f t="shared" si="5"/>
        <v>2419.9318121817837</v>
      </c>
      <c r="G23" s="5">
        <f t="shared" si="6"/>
        <v>2430.7350792004527</v>
      </c>
      <c r="H23" s="5">
        <f t="shared" si="7"/>
        <v>2419.9318121817837</v>
      </c>
      <c r="I23" s="5">
        <f t="shared" si="8"/>
        <v>2398.3252781444467</v>
      </c>
      <c r="J23" s="5">
        <f t="shared" si="9"/>
        <v>2355.1122100697717</v>
      </c>
      <c r="K23" s="5">
        <f t="shared" si="10"/>
        <v>2355.1122100697717</v>
      </c>
      <c r="L23" s="5">
        <f t="shared" si="11"/>
        <v>2344.3089430511031</v>
      </c>
      <c r="M23" s="5">
        <f t="shared" si="12"/>
        <v>2344.3089430511031</v>
      </c>
      <c r="N23" s="5">
        <f t="shared" si="13"/>
        <v>2333.5056760324346</v>
      </c>
      <c r="O23" s="5">
        <f t="shared" si="14"/>
        <v>2365.9154770884402</v>
      </c>
      <c r="P23" s="5">
        <f t="shared" si="15"/>
        <v>2376.7187441071092</v>
      </c>
      <c r="Q23" s="5">
        <f t="shared" si="16"/>
        <v>2387.5220111257781</v>
      </c>
      <c r="R23" s="5">
        <f t="shared" si="17"/>
        <v>2387.5220111257781</v>
      </c>
      <c r="S23" s="5">
        <f t="shared" si="18"/>
        <v>2376.7187441071092</v>
      </c>
      <c r="T23" s="5">
        <f t="shared" si="19"/>
        <v>2387.5220111257781</v>
      </c>
      <c r="U23" s="5">
        <f t="shared" si="20"/>
        <v>2387.5220111257781</v>
      </c>
      <c r="V23" s="5">
        <f t="shared" si="21"/>
        <v>2387.5220111257781</v>
      </c>
      <c r="W23" s="5">
        <f t="shared" si="22"/>
        <v>2409.1285451631152</v>
      </c>
      <c r="X23" s="5">
        <f t="shared" si="23"/>
        <v>2419.9318121817837</v>
      </c>
      <c r="Y23" s="61">
        <f t="shared" si="24"/>
        <v>2419.9318121817837</v>
      </c>
      <c r="Z23" s="53">
        <v>4.1297378842164813E-2</v>
      </c>
      <c r="AA23" s="53">
        <v>4.1485951348293422E-2</v>
      </c>
      <c r="AB23" s="53">
        <v>4.2240241372807845E-2</v>
      </c>
      <c r="AC23" s="53">
        <v>4.2240241372807845E-2</v>
      </c>
      <c r="AD23" s="53">
        <v>4.2240241372807845E-2</v>
      </c>
      <c r="AE23" s="53">
        <v>4.2428813878936454E-2</v>
      </c>
      <c r="AF23" s="53">
        <v>4.2240241372807845E-2</v>
      </c>
      <c r="AG23" s="53">
        <v>4.1863096360550633E-2</v>
      </c>
      <c r="AH23" s="53">
        <v>4.1108806336036204E-2</v>
      </c>
      <c r="AI23" s="53">
        <v>4.1108806336036204E-2</v>
      </c>
      <c r="AJ23" s="53">
        <v>4.0920233829907601E-2</v>
      </c>
      <c r="AK23" s="53">
        <v>4.0920233829907601E-2</v>
      </c>
      <c r="AL23" s="53">
        <v>4.0731661323778992E-2</v>
      </c>
      <c r="AM23" s="53">
        <v>4.1297378842164813E-2</v>
      </c>
      <c r="AN23" s="53">
        <v>4.1485951348293422E-2</v>
      </c>
      <c r="AO23" s="53">
        <v>4.1674523854422024E-2</v>
      </c>
      <c r="AP23" s="53">
        <v>4.1674523854422024E-2</v>
      </c>
      <c r="AQ23" s="53">
        <v>4.1485951348293422E-2</v>
      </c>
      <c r="AR23" s="53">
        <v>4.1674523854422024E-2</v>
      </c>
      <c r="AS23" s="53">
        <v>4.1674523854422024E-2</v>
      </c>
      <c r="AT23" s="53">
        <v>4.1674523854422024E-2</v>
      </c>
      <c r="AU23" s="53">
        <v>4.2051668866679236E-2</v>
      </c>
      <c r="AV23" s="53">
        <v>4.2240241372807845E-2</v>
      </c>
      <c r="AW23" s="53">
        <v>4.2240241372807845E-2</v>
      </c>
      <c r="AX23" s="5">
        <v>12.605</v>
      </c>
      <c r="AY23" s="65"/>
      <c r="BF23">
        <v>12.605</v>
      </c>
      <c r="BG23">
        <v>12.78</v>
      </c>
      <c r="BH23">
        <v>11.234999999999999</v>
      </c>
      <c r="BI23">
        <v>12.255000000000001</v>
      </c>
      <c r="BJ23">
        <v>10.84</v>
      </c>
      <c r="BK23">
        <v>11.074999999999999</v>
      </c>
    </row>
    <row r="24" spans="1:63" x14ac:dyDescent="0.35">
      <c r="A24" s="16" t="s">
        <v>166</v>
      </c>
      <c r="B24" s="5">
        <f t="shared" si="1"/>
        <v>16834.317369641023</v>
      </c>
      <c r="C24" s="5">
        <f t="shared" si="2"/>
        <v>16819.256778137449</v>
      </c>
      <c r="D24" s="5">
        <f t="shared" si="3"/>
        <v>16702.890176598157</v>
      </c>
      <c r="E24" s="5">
        <f t="shared" si="4"/>
        <v>16433.093799116243</v>
      </c>
      <c r="F24" s="5">
        <f t="shared" si="5"/>
        <v>16184.711700178468</v>
      </c>
      <c r="G24" s="5">
        <f t="shared" si="6"/>
        <v>16187.653221956509</v>
      </c>
      <c r="H24" s="5">
        <f t="shared" si="7"/>
        <v>17626.998658387485</v>
      </c>
      <c r="I24" s="5">
        <f t="shared" si="8"/>
        <v>19660.296172240491</v>
      </c>
      <c r="J24" s="5">
        <f t="shared" si="9"/>
        <v>22507.33627077072</v>
      </c>
      <c r="K24" s="5">
        <f t="shared" si="10"/>
        <v>22614.054680878045</v>
      </c>
      <c r="L24" s="5">
        <f t="shared" si="11"/>
        <v>23052.1061040639</v>
      </c>
      <c r="M24" s="5">
        <f t="shared" si="12"/>
        <v>22836.080744684579</v>
      </c>
      <c r="N24" s="5">
        <f t="shared" si="13"/>
        <v>22542.399210364973</v>
      </c>
      <c r="O24" s="5">
        <f t="shared" si="14"/>
        <v>20916.090649721715</v>
      </c>
      <c r="P24" s="5">
        <f t="shared" si="15"/>
        <v>19262.837749591599</v>
      </c>
      <c r="Q24" s="5">
        <f t="shared" si="16"/>
        <v>18979.15738931733</v>
      </c>
      <c r="R24" s="5">
        <f t="shared" si="17"/>
        <v>19073.521407956887</v>
      </c>
      <c r="S24" s="5">
        <f t="shared" si="18"/>
        <v>19205.536905355362</v>
      </c>
      <c r="T24" s="5">
        <f t="shared" si="19"/>
        <v>19519.691431250132</v>
      </c>
      <c r="U24" s="5">
        <f t="shared" si="20"/>
        <v>18921.503562467733</v>
      </c>
      <c r="V24" s="5">
        <f t="shared" si="21"/>
        <v>18442.270834389306</v>
      </c>
      <c r="W24" s="5">
        <f t="shared" si="22"/>
        <v>17352.025202576224</v>
      </c>
      <c r="X24" s="5">
        <f t="shared" si="23"/>
        <v>17212.47940942596</v>
      </c>
      <c r="Y24" s="61">
        <f t="shared" si="24"/>
        <v>16931.740570929738</v>
      </c>
      <c r="Z24" s="53">
        <v>3.6932099046189638E-2</v>
      </c>
      <c r="AA24" s="53">
        <v>3.6899058249530596E-2</v>
      </c>
      <c r="AB24" s="53">
        <v>3.664376646909475E-2</v>
      </c>
      <c r="AC24" s="53">
        <v>3.6051871572694939E-2</v>
      </c>
      <c r="AD24" s="53">
        <v>3.5506956559044706E-2</v>
      </c>
      <c r="AE24" s="53">
        <v>3.5513409839642171E-2</v>
      </c>
      <c r="AF24" s="53">
        <v>3.8671129101595439E-2</v>
      </c>
      <c r="AG24" s="53">
        <v>4.3131894781789547E-2</v>
      </c>
      <c r="AH24" s="53">
        <v>4.9377896006467317E-2</v>
      </c>
      <c r="AI24" s="53">
        <v>4.9612021026543475E-2</v>
      </c>
      <c r="AJ24" s="53">
        <v>5.0573043573118481E-2</v>
      </c>
      <c r="AK24" s="53">
        <v>5.0099114646040402E-2</v>
      </c>
      <c r="AL24" s="53">
        <v>4.9454819111189152E-2</v>
      </c>
      <c r="AM24" s="53">
        <v>4.5886929334460785E-2</v>
      </c>
      <c r="AN24" s="53">
        <v>4.2259927507459605E-2</v>
      </c>
      <c r="AO24" s="53">
        <v>4.1637573126639744E-2</v>
      </c>
      <c r="AP24" s="53">
        <v>4.1844594368206534E-2</v>
      </c>
      <c r="AQ24" s="53">
        <v>4.2134217601420922E-2</v>
      </c>
      <c r="AR24" s="53">
        <v>4.2823427969230554E-2</v>
      </c>
      <c r="AS24" s="53">
        <v>4.1511088826929367E-2</v>
      </c>
      <c r="AT24" s="53">
        <v>4.0459720351989803E-2</v>
      </c>
      <c r="AU24" s="53">
        <v>3.8067876431344093E-2</v>
      </c>
      <c r="AV24" s="53">
        <v>3.7761732799800184E-2</v>
      </c>
      <c r="AW24" s="53">
        <v>3.7145831699577796E-2</v>
      </c>
      <c r="AX24" s="5">
        <f>106.29-AX21</f>
        <v>100.29</v>
      </c>
      <c r="AY24" s="65"/>
      <c r="BF24">
        <f>106.29-BF21</f>
        <v>100.29</v>
      </c>
      <c r="BG24">
        <f>104.43-BG21</f>
        <v>98.93</v>
      </c>
      <c r="BH24">
        <f>103.42-BH21</f>
        <v>98.42</v>
      </c>
      <c r="BI24">
        <f>93.49-BI21</f>
        <v>88.99</v>
      </c>
      <c r="BJ24">
        <f>92.83-BJ21</f>
        <v>88.83</v>
      </c>
      <c r="BK24">
        <f>89.9-BK21</f>
        <v>85.9</v>
      </c>
    </row>
    <row r="25" spans="1:63" x14ac:dyDescent="0.35">
      <c r="A25" t="s">
        <v>7</v>
      </c>
      <c r="B25" s="5">
        <f t="shared" si="1"/>
        <v>6703.4858610613628</v>
      </c>
      <c r="C25" s="5">
        <f t="shared" si="2"/>
        <v>6703.4858610613628</v>
      </c>
      <c r="D25" s="5">
        <f t="shared" si="3"/>
        <v>6703.4858610613628</v>
      </c>
      <c r="E25" s="5">
        <f t="shared" si="4"/>
        <v>6703.4858610613628</v>
      </c>
      <c r="F25" s="5">
        <f t="shared" si="5"/>
        <v>6703.4858610613628</v>
      </c>
      <c r="G25" s="5">
        <f t="shared" si="6"/>
        <v>7565.5464228485253</v>
      </c>
      <c r="H25" s="5">
        <f t="shared" si="7"/>
        <v>9186.7349420303508</v>
      </c>
      <c r="I25" s="5">
        <f t="shared" si="8"/>
        <v>9186.7349420303508</v>
      </c>
      <c r="J25" s="5">
        <f t="shared" si="9"/>
        <v>10216.060985955319</v>
      </c>
      <c r="K25" s="5">
        <f t="shared" si="10"/>
        <v>10216.060985955319</v>
      </c>
      <c r="L25" s="5">
        <f t="shared" si="11"/>
        <v>10055.228791592042</v>
      </c>
      <c r="M25" s="5">
        <f t="shared" si="12"/>
        <v>10055.228791592042</v>
      </c>
      <c r="N25" s="5">
        <f t="shared" si="13"/>
        <v>10055.228791592042</v>
      </c>
      <c r="O25" s="5">
        <f t="shared" si="14"/>
        <v>8787.8711000094263</v>
      </c>
      <c r="P25" s="5">
        <f t="shared" si="15"/>
        <v>9315.4006975209704</v>
      </c>
      <c r="Q25" s="5">
        <f t="shared" si="16"/>
        <v>9315.4006975209704</v>
      </c>
      <c r="R25" s="5">
        <f t="shared" si="17"/>
        <v>9431.1998774625317</v>
      </c>
      <c r="S25" s="5">
        <f t="shared" si="18"/>
        <v>9431.1998774625317</v>
      </c>
      <c r="T25" s="5">
        <f t="shared" si="19"/>
        <v>8652.7720567442739</v>
      </c>
      <c r="U25" s="5">
        <f t="shared" si="20"/>
        <v>8652.7720567442739</v>
      </c>
      <c r="V25" s="5">
        <f t="shared" si="21"/>
        <v>8112.3758836836641</v>
      </c>
      <c r="W25" s="5">
        <f t="shared" si="22"/>
        <v>8112.3758836836641</v>
      </c>
      <c r="X25" s="5">
        <f t="shared" si="23"/>
        <v>7443.3139551324348</v>
      </c>
      <c r="Y25" s="61">
        <f t="shared" si="24"/>
        <v>7443.3139551324348</v>
      </c>
      <c r="Z25" s="53">
        <v>3.273949791057907E-2</v>
      </c>
      <c r="AA25" s="53">
        <v>3.273949791057907E-2</v>
      </c>
      <c r="AB25" s="53">
        <v>3.273949791057907E-2</v>
      </c>
      <c r="AC25" s="53">
        <v>3.273949791057907E-2</v>
      </c>
      <c r="AD25" s="53">
        <v>3.273949791057907E-2</v>
      </c>
      <c r="AE25" s="53">
        <v>3.6949759638043173E-2</v>
      </c>
      <c r="AF25" s="53">
        <v>4.4867565274766708E-2</v>
      </c>
      <c r="AG25" s="53">
        <v>4.4867565274766708E-2</v>
      </c>
      <c r="AH25" s="53">
        <v>4.9894743456813398E-2</v>
      </c>
      <c r="AI25" s="53">
        <v>4.9894743456813398E-2</v>
      </c>
      <c r="AJ25" s="53">
        <v>4.9109246865868601E-2</v>
      </c>
      <c r="AK25" s="53">
        <v>4.9109246865868601E-2</v>
      </c>
      <c r="AL25" s="53">
        <v>4.9109246865868601E-2</v>
      </c>
      <c r="AM25" s="53">
        <v>4.2919533729223615E-2</v>
      </c>
      <c r="AN25" s="53">
        <v>4.5495962547522542E-2</v>
      </c>
      <c r="AO25" s="53">
        <v>4.5495962547522542E-2</v>
      </c>
      <c r="AP25" s="53">
        <v>4.6061520093002795E-2</v>
      </c>
      <c r="AQ25" s="53">
        <v>4.6061520093002795E-2</v>
      </c>
      <c r="AR25" s="53">
        <v>4.2259716592829989E-2</v>
      </c>
      <c r="AS25" s="53">
        <v>4.2259716592829989E-2</v>
      </c>
      <c r="AT25" s="53">
        <v>3.9620448047255473E-2</v>
      </c>
      <c r="AU25" s="53">
        <v>3.9620448047255473E-2</v>
      </c>
      <c r="AV25" s="53">
        <v>3.6352782228925129E-2</v>
      </c>
      <c r="AW25" s="53">
        <v>3.6352782228925129E-2</v>
      </c>
      <c r="AX25" s="5">
        <v>45.05</v>
      </c>
      <c r="AY25" s="65"/>
      <c r="BF25">
        <v>45.05</v>
      </c>
      <c r="BG25">
        <v>43.49</v>
      </c>
      <c r="BH25">
        <v>44.41</v>
      </c>
      <c r="BI25">
        <v>44.05</v>
      </c>
      <c r="BJ25">
        <v>41.14</v>
      </c>
      <c r="BK25">
        <v>38.049999999999997</v>
      </c>
    </row>
    <row r="26" spans="1:63" s="11" customFormat="1" x14ac:dyDescent="0.35">
      <c r="A26" s="10" t="s">
        <v>167</v>
      </c>
      <c r="B26" s="51">
        <f t="shared" si="1"/>
        <v>5252.8067556468177</v>
      </c>
      <c r="C26" s="51">
        <f t="shared" si="2"/>
        <v>4781.2653388090357</v>
      </c>
      <c r="D26" s="51">
        <f t="shared" si="3"/>
        <v>4434.3707802874742</v>
      </c>
      <c r="E26" s="51">
        <f t="shared" si="4"/>
        <v>4083.9484804928134</v>
      </c>
      <c r="F26" s="51">
        <f t="shared" si="5"/>
        <v>4172.1420123203288</v>
      </c>
      <c r="G26" s="51">
        <f t="shared" si="6"/>
        <v>4213.2989938398359</v>
      </c>
      <c r="H26" s="51">
        <f t="shared" si="7"/>
        <v>5811.365790554416</v>
      </c>
      <c r="I26" s="51">
        <f t="shared" si="8"/>
        <v>8518.3192607802885</v>
      </c>
      <c r="J26" s="51">
        <f t="shared" si="9"/>
        <v>10812.52700205339</v>
      </c>
      <c r="K26" s="51">
        <f t="shared" si="10"/>
        <v>11047.70975359343</v>
      </c>
      <c r="L26" s="51">
        <f t="shared" si="11"/>
        <v>11219.393162217659</v>
      </c>
      <c r="M26" s="51">
        <f t="shared" si="12"/>
        <v>10720.805728952773</v>
      </c>
      <c r="N26" s="51">
        <f t="shared" si="13"/>
        <v>10299.828603696098</v>
      </c>
      <c r="O26" s="51">
        <f t="shared" si="14"/>
        <v>9995.2669404517474</v>
      </c>
      <c r="P26" s="51">
        <f t="shared" si="15"/>
        <v>10143.432073921973</v>
      </c>
      <c r="Q26" s="51">
        <f t="shared" si="16"/>
        <v>10143.432073921973</v>
      </c>
      <c r="R26" s="51">
        <f t="shared" si="17"/>
        <v>8639.4383778234096</v>
      </c>
      <c r="S26" s="51">
        <f t="shared" si="18"/>
        <v>9333.227494866529</v>
      </c>
      <c r="T26" s="51">
        <f t="shared" si="19"/>
        <v>8871.0933880903485</v>
      </c>
      <c r="U26" s="51">
        <f t="shared" si="20"/>
        <v>8091.4625667351138</v>
      </c>
      <c r="V26" s="51">
        <f t="shared" si="21"/>
        <v>7019.0292197125264</v>
      </c>
      <c r="W26" s="51">
        <f t="shared" si="22"/>
        <v>6628.6258521560576</v>
      </c>
      <c r="X26" s="51">
        <f t="shared" si="23"/>
        <v>6251.1575359342914</v>
      </c>
      <c r="Y26" s="60">
        <f t="shared" si="24"/>
        <v>5633.8028131416841</v>
      </c>
      <c r="Z26" s="51">
        <v>2.8223029537197915E-2</v>
      </c>
      <c r="AA26" s="51">
        <v>2.5689464539567209E-2</v>
      </c>
      <c r="AB26" s="51">
        <v>2.3825619965250355E-2</v>
      </c>
      <c r="AC26" s="51">
        <v>2.194282103933028E-2</v>
      </c>
      <c r="AD26" s="51">
        <v>2.2416679829410837E-2</v>
      </c>
      <c r="AE26" s="51">
        <v>2.2637813931448428E-2</v>
      </c>
      <c r="AF26" s="51">
        <v>3.1224135207708104E-2</v>
      </c>
      <c r="AG26" s="51">
        <v>4.5768441004580634E-2</v>
      </c>
      <c r="AH26" s="51">
        <v>5.8095087663876166E-2</v>
      </c>
      <c r="AI26" s="51">
        <v>5.935871110409098E-2</v>
      </c>
      <c r="AJ26" s="51">
        <v>6.0281156215447794E-2</v>
      </c>
      <c r="AK26" s="51">
        <v>5.7602274522192388E-2</v>
      </c>
      <c r="AL26" s="51">
        <v>5.5340388564207865E-2</v>
      </c>
      <c r="AM26" s="51">
        <v>5.3703996209129683E-2</v>
      </c>
      <c r="AN26" s="51">
        <v>5.4500078976465013E-2</v>
      </c>
      <c r="AO26" s="51">
        <v>5.4500078976465013E-2</v>
      </c>
      <c r="AP26" s="51">
        <v>4.6419207076291262E-2</v>
      </c>
      <c r="AQ26" s="51">
        <v>5.0146896224924971E-2</v>
      </c>
      <c r="AR26" s="51">
        <v>4.7663876164902856E-2</v>
      </c>
      <c r="AS26" s="51">
        <v>4.3474964460590744E-2</v>
      </c>
      <c r="AT26" s="51">
        <v>3.7712841573211184E-2</v>
      </c>
      <c r="AU26" s="51">
        <v>3.5615226662454591E-2</v>
      </c>
      <c r="AV26" s="51">
        <v>3.3587111040909806E-2</v>
      </c>
      <c r="AW26" s="51">
        <v>3.0270099510345917E-2</v>
      </c>
      <c r="AX26" s="51">
        <v>40.950000000000003</v>
      </c>
      <c r="AY26" s="68"/>
      <c r="BF26" s="11">
        <v>40.950000000000003</v>
      </c>
      <c r="BG26" s="11">
        <v>39.630000000000003</v>
      </c>
      <c r="BH26" s="11">
        <v>39.090000000000003</v>
      </c>
      <c r="BI26" s="11">
        <v>37.72</v>
      </c>
      <c r="BJ26" s="11">
        <v>34.22</v>
      </c>
      <c r="BK26" s="11">
        <v>30.6</v>
      </c>
    </row>
    <row r="27" spans="1:63" s="13" customFormat="1" x14ac:dyDescent="0.35">
      <c r="A27" s="12">
        <v>22</v>
      </c>
      <c r="B27" s="52">
        <f t="shared" si="1"/>
        <v>1271.2561744884949</v>
      </c>
      <c r="C27" s="52">
        <f t="shared" si="2"/>
        <v>1233.7559923501915</v>
      </c>
      <c r="D27" s="52">
        <f t="shared" si="3"/>
        <v>1315.0063869831824</v>
      </c>
      <c r="E27" s="52">
        <f t="shared" si="4"/>
        <v>1165.005658429968</v>
      </c>
      <c r="F27" s="52">
        <f t="shared" si="5"/>
        <v>1220.0059255661465</v>
      </c>
      <c r="G27" s="52">
        <f t="shared" si="6"/>
        <v>1205.0058527108254</v>
      </c>
      <c r="H27" s="52">
        <f t="shared" si="7"/>
        <v>1248.7560652055126</v>
      </c>
      <c r="I27" s="52">
        <f t="shared" si="8"/>
        <v>1992.5096776152027</v>
      </c>
      <c r="J27" s="52">
        <f t="shared" si="9"/>
        <v>2133.7603636694798</v>
      </c>
      <c r="K27" s="52">
        <f t="shared" si="10"/>
        <v>2258.7609707971587</v>
      </c>
      <c r="L27" s="52">
        <f t="shared" si="11"/>
        <v>2035.0098840386133</v>
      </c>
      <c r="M27" s="52">
        <f t="shared" si="12"/>
        <v>2003.759732256694</v>
      </c>
      <c r="N27" s="52">
        <f t="shared" si="13"/>
        <v>2033.7598779673367</v>
      </c>
      <c r="O27" s="52">
        <f t="shared" si="14"/>
        <v>1993.7596836864793</v>
      </c>
      <c r="P27" s="52">
        <f t="shared" si="15"/>
        <v>1993.7596836864793</v>
      </c>
      <c r="Q27" s="52">
        <f t="shared" si="16"/>
        <v>1993.7596836864793</v>
      </c>
      <c r="R27" s="52">
        <f t="shared" si="17"/>
        <v>1857.5090219173094</v>
      </c>
      <c r="S27" s="52">
        <f t="shared" si="18"/>
        <v>1970.0095683322204</v>
      </c>
      <c r="T27" s="52">
        <f t="shared" si="19"/>
        <v>1850.0089854896487</v>
      </c>
      <c r="U27" s="52">
        <f t="shared" si="20"/>
        <v>1738.7584451460143</v>
      </c>
      <c r="V27" s="52">
        <f t="shared" si="21"/>
        <v>1711.2583115779248</v>
      </c>
      <c r="W27" s="52">
        <f t="shared" si="22"/>
        <v>1697.5082447938803</v>
      </c>
      <c r="X27" s="52">
        <f t="shared" si="23"/>
        <v>1661.2580687268533</v>
      </c>
      <c r="Y27" s="62">
        <f t="shared" si="24"/>
        <v>1593.7577408779066</v>
      </c>
      <c r="Z27" s="52">
        <v>3.0872442474652418E-2</v>
      </c>
      <c r="AA27" s="52">
        <v>2.9961750956226094E-2</v>
      </c>
      <c r="AB27" s="52">
        <v>3.1934915912816463E-2</v>
      </c>
      <c r="AC27" s="52">
        <v>2.8292149839111165E-2</v>
      </c>
      <c r="AD27" s="52">
        <v>2.9627830732803107E-2</v>
      </c>
      <c r="AE27" s="52">
        <v>2.9263554125432578E-2</v>
      </c>
      <c r="AF27" s="52">
        <v>3.0326027563596623E-2</v>
      </c>
      <c r="AG27" s="52">
        <v>4.8388076012385407E-2</v>
      </c>
      <c r="AH27" s="52">
        <v>5.1818347398457892E-2</v>
      </c>
      <c r="AI27" s="52">
        <v>5.4853985793212309E-2</v>
      </c>
      <c r="AJ27" s="52">
        <v>4.9420193066601906E-2</v>
      </c>
      <c r="AK27" s="52">
        <v>4.8661283467913305E-2</v>
      </c>
      <c r="AL27" s="52">
        <v>4.9389836682654363E-2</v>
      </c>
      <c r="AM27" s="52">
        <v>4.841843239633295E-2</v>
      </c>
      <c r="AN27" s="52">
        <v>4.841843239633295E-2</v>
      </c>
      <c r="AO27" s="52">
        <v>4.841843239633295E-2</v>
      </c>
      <c r="AP27" s="52">
        <v>4.5109586546050635E-2</v>
      </c>
      <c r="AQ27" s="52">
        <v>4.7841661101329612E-2</v>
      </c>
      <c r="AR27" s="52">
        <v>4.4927448242365373E-2</v>
      </c>
      <c r="AS27" s="52">
        <v>4.2225730071033939E-2</v>
      </c>
      <c r="AT27" s="52">
        <v>4.1557889624187966E-2</v>
      </c>
      <c r="AU27" s="52">
        <v>4.1223969400764983E-2</v>
      </c>
      <c r="AV27" s="52">
        <v>4.0343634266286198E-2</v>
      </c>
      <c r="AW27" s="52">
        <v>3.8704389533118812E-2</v>
      </c>
      <c r="AX27" s="52">
        <v>9.06</v>
      </c>
      <c r="AY27" s="69"/>
      <c r="BF27" s="13">
        <v>9.06</v>
      </c>
      <c r="BG27" s="13">
        <v>8.7200000000000006</v>
      </c>
      <c r="BH27" s="13">
        <v>8.68</v>
      </c>
      <c r="BI27" s="13">
        <v>8.1199999999999992</v>
      </c>
      <c r="BJ27" s="13">
        <v>7.43</v>
      </c>
      <c r="BK27" s="13">
        <v>7.36</v>
      </c>
    </row>
    <row r="28" spans="1:63" s="6" customFormat="1" x14ac:dyDescent="0.35">
      <c r="A28" s="47" t="s">
        <v>152</v>
      </c>
      <c r="B28" s="55">
        <f>$AX28*Z28*4545</f>
        <v>1909.3889669878379</v>
      </c>
      <c r="C28" s="55">
        <f t="shared" ref="C28:Y28" si="25">$AX28*AA28*4545</f>
        <v>1874.6404043595007</v>
      </c>
      <c r="D28" s="55">
        <f t="shared" si="25"/>
        <v>1762.3758174064126</v>
      </c>
      <c r="E28" s="55">
        <f t="shared" si="25"/>
        <v>1691.0967145790553</v>
      </c>
      <c r="F28" s="55">
        <f t="shared" si="25"/>
        <v>1811.3802006002209</v>
      </c>
      <c r="G28" s="55">
        <f t="shared" si="25"/>
        <v>1746.3380192702575</v>
      </c>
      <c r="H28" s="55">
        <f t="shared" si="25"/>
        <v>1805.1432791028274</v>
      </c>
      <c r="I28" s="55">
        <f t="shared" si="25"/>
        <v>2161.5387932396147</v>
      </c>
      <c r="J28" s="55">
        <f t="shared" si="25"/>
        <v>2300.5330437529615</v>
      </c>
      <c r="K28" s="55">
        <f t="shared" si="25"/>
        <v>2217.6710867161587</v>
      </c>
      <c r="L28" s="55">
        <f t="shared" si="25"/>
        <v>2178.467580161112</v>
      </c>
      <c r="M28" s="55">
        <f t="shared" si="25"/>
        <v>2137.4820960353813</v>
      </c>
      <c r="N28" s="55">
        <f t="shared" si="25"/>
        <v>2250.6376717738117</v>
      </c>
      <c r="O28" s="55">
        <f t="shared" si="25"/>
        <v>2333.4996288106145</v>
      </c>
      <c r="P28" s="55">
        <f t="shared" si="25"/>
        <v>2263.1115147685987</v>
      </c>
      <c r="Q28" s="55">
        <f t="shared" si="25"/>
        <v>2181.1405465171383</v>
      </c>
      <c r="R28" s="55">
        <f t="shared" si="25"/>
        <v>2329.0446848839047</v>
      </c>
      <c r="S28" s="55">
        <f t="shared" si="25"/>
        <v>2384.2859895751067</v>
      </c>
      <c r="T28" s="55">
        <f t="shared" si="25"/>
        <v>2402.1057652819459</v>
      </c>
      <c r="U28" s="55">
        <f t="shared" si="25"/>
        <v>2326.3717185278788</v>
      </c>
      <c r="V28" s="55">
        <f t="shared" si="25"/>
        <v>2317.4618306744592</v>
      </c>
      <c r="W28" s="55">
        <f t="shared" si="25"/>
        <v>2141.0460511767492</v>
      </c>
      <c r="X28" s="55">
        <f t="shared" si="25"/>
        <v>2130.3541857526457</v>
      </c>
      <c r="Y28" s="64">
        <f t="shared" si="25"/>
        <v>2112.5344100458065</v>
      </c>
      <c r="Z28" s="4">
        <f t="shared" ref="Z28:AW28" si="26">SUM(Z29:Z31)/SUM($Z29:$AW31)</f>
        <v>3.7610347671949318E-2</v>
      </c>
      <c r="AA28" s="4">
        <f t="shared" si="26"/>
        <v>3.6925884975166287E-2</v>
      </c>
      <c r="AB28" s="4">
        <f t="shared" si="26"/>
        <v>3.4714543954790358E-2</v>
      </c>
      <c r="AC28" s="4">
        <f t="shared" si="26"/>
        <v>3.331051791010723E-2</v>
      </c>
      <c r="AD28" s="4">
        <f t="shared" si="26"/>
        <v>3.5679811860510009E-2</v>
      </c>
      <c r="AE28" s="4">
        <f t="shared" si="26"/>
        <v>3.4398638094736658E-2</v>
      </c>
      <c r="AF28" s="4">
        <f t="shared" si="26"/>
        <v>3.5556959581600239E-2</v>
      </c>
      <c r="AG28" s="4">
        <f t="shared" si="26"/>
        <v>4.2577089805015886E-2</v>
      </c>
      <c r="AH28" s="4">
        <f t="shared" si="26"/>
        <v>4.5314940592147981E-2</v>
      </c>
      <c r="AI28" s="4">
        <f t="shared" si="26"/>
        <v>4.368276031520385E-2</v>
      </c>
      <c r="AJ28" s="4">
        <f t="shared" si="26"/>
        <v>4.2910545990628129E-2</v>
      </c>
      <c r="AK28" s="4">
        <f t="shared" si="26"/>
        <v>4.2103231014935329E-2</v>
      </c>
      <c r="AL28" s="4">
        <f t="shared" si="26"/>
        <v>4.4332122360869794E-2</v>
      </c>
      <c r="AM28" s="4">
        <f t="shared" si="26"/>
        <v>4.5964302637813932E-2</v>
      </c>
      <c r="AN28" s="4">
        <f t="shared" si="26"/>
        <v>4.4577826918689341E-2</v>
      </c>
      <c r="AO28" s="4">
        <f t="shared" si="26"/>
        <v>4.2963196967303746E-2</v>
      </c>
      <c r="AP28" s="4">
        <f t="shared" si="26"/>
        <v>4.5876551010021235E-2</v>
      </c>
      <c r="AQ28" s="4">
        <f t="shared" si="26"/>
        <v>4.6964671194650663E-2</v>
      </c>
      <c r="AR28" s="4">
        <f t="shared" si="26"/>
        <v>4.7315677705821443E-2</v>
      </c>
      <c r="AS28" s="4">
        <f t="shared" si="26"/>
        <v>4.5823900033345619E-2</v>
      </c>
      <c r="AT28" s="4">
        <f t="shared" si="26"/>
        <v>4.5648396777760225E-2</v>
      </c>
      <c r="AU28" s="4">
        <f t="shared" si="26"/>
        <v>4.2173432317169482E-2</v>
      </c>
      <c r="AV28" s="4">
        <f t="shared" si="26"/>
        <v>4.1962828410467015E-2</v>
      </c>
      <c r="AW28" s="4">
        <f t="shared" si="26"/>
        <v>4.1611821899296235E-2</v>
      </c>
      <c r="AX28" s="37">
        <v>11.17</v>
      </c>
      <c r="AY28" s="55"/>
      <c r="BF28" s="37">
        <v>11.620856673124795</v>
      </c>
      <c r="BG28" s="37">
        <v>11.015861955220172</v>
      </c>
      <c r="BH28" s="37">
        <v>10.6</v>
      </c>
      <c r="BI28" s="37">
        <v>10.544613405897536</v>
      </c>
      <c r="BJ28" s="37">
        <v>10.271765259795284</v>
      </c>
      <c r="BK28" s="37">
        <v>9.9191315443923571</v>
      </c>
    </row>
    <row r="29" spans="1:63" s="6" customFormat="1" x14ac:dyDescent="0.35">
      <c r="A29" s="15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61"/>
      <c r="Z29" s="5">
        <v>838</v>
      </c>
      <c r="AA29" s="5">
        <v>825</v>
      </c>
      <c r="AB29" s="5">
        <v>816</v>
      </c>
      <c r="AC29" s="5">
        <v>817</v>
      </c>
      <c r="AD29" s="5">
        <v>828</v>
      </c>
      <c r="AE29" s="5">
        <v>643</v>
      </c>
      <c r="AF29" s="5">
        <v>600</v>
      </c>
      <c r="AG29" s="5">
        <v>664</v>
      </c>
      <c r="AH29" s="5">
        <v>706</v>
      </c>
      <c r="AI29" s="5">
        <v>742</v>
      </c>
      <c r="AJ29" s="5">
        <v>761</v>
      </c>
      <c r="AK29" s="5">
        <v>771</v>
      </c>
      <c r="AL29" s="5">
        <v>926</v>
      </c>
      <c r="AM29" s="5">
        <v>1018</v>
      </c>
      <c r="AN29" s="5">
        <v>944</v>
      </c>
      <c r="AO29" s="5">
        <v>895</v>
      </c>
      <c r="AP29" s="5">
        <v>1024</v>
      </c>
      <c r="AQ29" s="5">
        <v>1001</v>
      </c>
      <c r="AR29" s="5">
        <v>966</v>
      </c>
      <c r="AS29" s="5">
        <v>922</v>
      </c>
      <c r="AT29" s="5">
        <v>907</v>
      </c>
      <c r="AU29" s="5">
        <v>907</v>
      </c>
      <c r="AV29" s="5">
        <v>909</v>
      </c>
      <c r="AW29" s="5">
        <v>907</v>
      </c>
      <c r="AX29" s="37"/>
      <c r="AY29" s="55"/>
      <c r="BF29" s="37"/>
    </row>
    <row r="30" spans="1:63" s="6" customFormat="1" x14ac:dyDescent="0.35">
      <c r="A30" s="15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61"/>
      <c r="Z30" s="5">
        <v>1305</v>
      </c>
      <c r="AA30" s="5">
        <v>1279</v>
      </c>
      <c r="AB30" s="5">
        <v>1162</v>
      </c>
      <c r="AC30" s="5">
        <v>1081</v>
      </c>
      <c r="AD30" s="5">
        <v>1205</v>
      </c>
      <c r="AE30" s="5">
        <v>1317</v>
      </c>
      <c r="AF30" s="5">
        <v>1426</v>
      </c>
      <c r="AG30" s="5">
        <v>1762</v>
      </c>
      <c r="AH30" s="5">
        <v>1876</v>
      </c>
      <c r="AI30" s="5">
        <v>1747</v>
      </c>
      <c r="AJ30" s="5">
        <v>1684</v>
      </c>
      <c r="AK30" s="5">
        <v>1628</v>
      </c>
      <c r="AL30" s="5">
        <v>1600</v>
      </c>
      <c r="AM30" s="5">
        <v>1601</v>
      </c>
      <c r="AN30" s="5">
        <v>1596</v>
      </c>
      <c r="AO30" s="5">
        <v>1553</v>
      </c>
      <c r="AP30" s="5">
        <v>1590</v>
      </c>
      <c r="AQ30" s="5">
        <v>1675</v>
      </c>
      <c r="AR30" s="5">
        <v>1730</v>
      </c>
      <c r="AS30" s="5">
        <v>1689</v>
      </c>
      <c r="AT30" s="5">
        <v>1694</v>
      </c>
      <c r="AU30" s="5">
        <v>1496</v>
      </c>
      <c r="AV30" s="5">
        <v>1482</v>
      </c>
      <c r="AW30" s="5">
        <v>1464</v>
      </c>
      <c r="AX30" s="37"/>
      <c r="AY30" s="55"/>
      <c r="BF30" s="37"/>
    </row>
    <row r="31" spans="1:63" s="6" customFormat="1" x14ac:dyDescent="0.35">
      <c r="A31" s="15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61"/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37"/>
      <c r="AY31" s="55"/>
      <c r="BF31" s="37"/>
    </row>
    <row r="32" spans="1:63" x14ac:dyDescent="0.35">
      <c r="A32" s="46" t="s">
        <v>151</v>
      </c>
      <c r="B32" s="55">
        <f>$AX32*Z32*4545</f>
        <v>741.26603621188656</v>
      </c>
      <c r="C32" s="55">
        <f t="shared" ref="C32:Y32" si="27">$AX32*AA32*4545</f>
        <v>741.26603621188656</v>
      </c>
      <c r="D32" s="55">
        <f t="shared" si="27"/>
        <v>743.67665746786031</v>
      </c>
      <c r="E32" s="55">
        <f t="shared" si="27"/>
        <v>741.26603621188656</v>
      </c>
      <c r="F32" s="55">
        <f t="shared" si="27"/>
        <v>744.88196809584701</v>
      </c>
      <c r="G32" s="55">
        <f t="shared" si="27"/>
        <v>743.67665746786031</v>
      </c>
      <c r="H32" s="55">
        <f t="shared" si="27"/>
        <v>1389.7231540687892</v>
      </c>
      <c r="I32" s="55">
        <f t="shared" si="27"/>
        <v>1382.4912903008681</v>
      </c>
      <c r="J32" s="55">
        <f t="shared" si="27"/>
        <v>1390.928464696776</v>
      </c>
      <c r="K32" s="55">
        <f t="shared" si="27"/>
        <v>1439.1408898162483</v>
      </c>
      <c r="L32" s="55">
        <f t="shared" si="27"/>
        <v>790.68377195934579</v>
      </c>
      <c r="M32" s="55">
        <f t="shared" si="27"/>
        <v>778.63066567947783</v>
      </c>
      <c r="N32" s="55">
        <f t="shared" si="27"/>
        <v>753.31914249175475</v>
      </c>
      <c r="O32" s="55">
        <f t="shared" si="27"/>
        <v>735.23948307195258</v>
      </c>
      <c r="P32" s="55">
        <f t="shared" si="27"/>
        <v>738.85541495591303</v>
      </c>
      <c r="Q32" s="55">
        <f t="shared" si="27"/>
        <v>732.82886181597905</v>
      </c>
      <c r="R32" s="55">
        <f t="shared" si="27"/>
        <v>86.782365215050135</v>
      </c>
      <c r="S32" s="55">
        <f t="shared" si="27"/>
        <v>86.782365215050135</v>
      </c>
      <c r="T32" s="55">
        <f t="shared" si="27"/>
        <v>87.987675843036939</v>
      </c>
      <c r="U32" s="55">
        <f t="shared" si="27"/>
        <v>87.987675843036939</v>
      </c>
      <c r="V32" s="55">
        <f t="shared" si="27"/>
        <v>731.62355118799212</v>
      </c>
      <c r="W32" s="55">
        <f t="shared" si="27"/>
        <v>732.82886181597905</v>
      </c>
      <c r="X32" s="55">
        <f t="shared" si="27"/>
        <v>759.34569563168873</v>
      </c>
      <c r="Y32" s="64">
        <f t="shared" si="27"/>
        <v>746.08727872383395</v>
      </c>
      <c r="Z32" s="4">
        <f>SUM(Z33:Z35,Z37)/SUM($Z33:$AW35,$Z37:$AW37)</f>
        <v>4.1394628794507636E-2</v>
      </c>
      <c r="AA32" s="4">
        <f t="shared" ref="AA32:AW32" si="28">SUM(AA33:AA35,AA37)/SUM($Z33:$AW35,$Z37:$AW37)</f>
        <v>4.1394628794507636E-2</v>
      </c>
      <c r="AB32" s="4">
        <f t="shared" si="28"/>
        <v>4.1529245473514172E-2</v>
      </c>
      <c r="AC32" s="4">
        <f t="shared" si="28"/>
        <v>4.1394628794507636E-2</v>
      </c>
      <c r="AD32" s="4">
        <f t="shared" si="28"/>
        <v>4.1596553813017433E-2</v>
      </c>
      <c r="AE32" s="4">
        <f t="shared" si="28"/>
        <v>4.1529245473514172E-2</v>
      </c>
      <c r="AF32" s="4">
        <f t="shared" si="28"/>
        <v>7.7606515447263921E-2</v>
      </c>
      <c r="AG32" s="4">
        <f t="shared" si="28"/>
        <v>7.7202665410244328E-2</v>
      </c>
      <c r="AH32" s="4">
        <f t="shared" si="28"/>
        <v>7.7673823786767182E-2</v>
      </c>
      <c r="AI32" s="4">
        <f t="shared" si="28"/>
        <v>8.0366157366897756E-2</v>
      </c>
      <c r="AJ32" s="4">
        <f t="shared" si="28"/>
        <v>4.4154270714141484E-2</v>
      </c>
      <c r="AK32" s="4">
        <f t="shared" si="28"/>
        <v>4.3481187319108841E-2</v>
      </c>
      <c r="AL32" s="4">
        <f t="shared" si="28"/>
        <v>4.2067712189540286E-2</v>
      </c>
      <c r="AM32" s="4">
        <f t="shared" si="28"/>
        <v>4.1058087096991318E-2</v>
      </c>
      <c r="AN32" s="4">
        <f t="shared" si="28"/>
        <v>4.1260012115501107E-2</v>
      </c>
      <c r="AO32" s="4">
        <f t="shared" si="28"/>
        <v>4.0923470417984789E-2</v>
      </c>
      <c r="AP32" s="4">
        <f t="shared" si="28"/>
        <v>4.8462004442350404E-3</v>
      </c>
      <c r="AQ32" s="4">
        <f t="shared" si="28"/>
        <v>4.8462004442350404E-3</v>
      </c>
      <c r="AR32" s="4">
        <f t="shared" si="28"/>
        <v>4.9135087837383047E-3</v>
      </c>
      <c r="AS32" s="4">
        <f t="shared" si="28"/>
        <v>4.9135087837383047E-3</v>
      </c>
      <c r="AT32" s="4">
        <f t="shared" si="28"/>
        <v>4.0856162078481521E-2</v>
      </c>
      <c r="AU32" s="4">
        <f t="shared" si="28"/>
        <v>4.0923470417984789E-2</v>
      </c>
      <c r="AV32" s="4">
        <f t="shared" si="28"/>
        <v>4.2404253887056605E-2</v>
      </c>
      <c r="AW32" s="4">
        <f t="shared" si="28"/>
        <v>4.16638621525207E-2</v>
      </c>
      <c r="AX32" s="37">
        <v>3.94</v>
      </c>
      <c r="AY32" s="55"/>
      <c r="BF32" s="37">
        <v>4.3059389883451926</v>
      </c>
      <c r="BG32" s="37">
        <v>4.2424999999999997</v>
      </c>
      <c r="BH32" s="37">
        <v>4.2440732483004888</v>
      </c>
      <c r="BI32" s="37">
        <v>4.32</v>
      </c>
      <c r="BJ32" s="37">
        <v>4.2299999999999995</v>
      </c>
      <c r="BK32" s="37">
        <v>4.1412802825147077</v>
      </c>
    </row>
    <row r="33" spans="1:63" s="48" customFormat="1" x14ac:dyDescent="0.35">
      <c r="A33" s="20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64"/>
      <c r="Z33" s="5">
        <v>1</v>
      </c>
      <c r="AA33" s="5">
        <v>2</v>
      </c>
      <c r="AB33" s="5">
        <v>2</v>
      </c>
      <c r="AC33" s="5">
        <v>1</v>
      </c>
      <c r="AD33" s="5">
        <v>2</v>
      </c>
      <c r="AE33" s="5">
        <v>2</v>
      </c>
      <c r="AF33" s="5">
        <v>1</v>
      </c>
      <c r="AG33" s="5">
        <v>2</v>
      </c>
      <c r="AH33" s="5">
        <v>2</v>
      </c>
      <c r="AI33" s="5">
        <v>1</v>
      </c>
      <c r="AJ33" s="5">
        <v>2</v>
      </c>
      <c r="AK33" s="5">
        <v>2</v>
      </c>
      <c r="AL33" s="5">
        <v>1</v>
      </c>
      <c r="AM33" s="5">
        <v>2</v>
      </c>
      <c r="AN33" s="5">
        <v>2</v>
      </c>
      <c r="AO33" s="5">
        <v>1</v>
      </c>
      <c r="AP33" s="5">
        <v>2</v>
      </c>
      <c r="AQ33" s="5">
        <v>1</v>
      </c>
      <c r="AR33" s="5">
        <v>2</v>
      </c>
      <c r="AS33" s="5">
        <v>2</v>
      </c>
      <c r="AT33" s="5">
        <v>1</v>
      </c>
      <c r="AU33" s="5">
        <v>2</v>
      </c>
      <c r="AV33" s="5">
        <v>2</v>
      </c>
      <c r="AW33" s="5">
        <v>2</v>
      </c>
      <c r="AX33" s="37"/>
      <c r="AY33" s="55"/>
      <c r="BF33" s="37"/>
      <c r="BG33" s="37"/>
      <c r="BH33" s="37"/>
      <c r="BI33" s="37"/>
      <c r="BJ33" s="37"/>
      <c r="BK33" s="37"/>
    </row>
    <row r="34" spans="1:63" s="48" customFormat="1" x14ac:dyDescent="0.35">
      <c r="A34" s="20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64"/>
      <c r="Z34" s="5">
        <v>0</v>
      </c>
      <c r="AA34" s="5">
        <v>0</v>
      </c>
      <c r="AB34" s="5">
        <v>1</v>
      </c>
      <c r="AC34" s="5">
        <v>2</v>
      </c>
      <c r="AD34" s="5">
        <v>3</v>
      </c>
      <c r="AE34" s="5">
        <v>1</v>
      </c>
      <c r="AF34" s="5">
        <v>1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1</v>
      </c>
      <c r="AM34" s="5">
        <v>1</v>
      </c>
      <c r="AN34" s="5">
        <v>4</v>
      </c>
      <c r="AO34" s="5">
        <v>0</v>
      </c>
      <c r="AP34" s="5">
        <v>0</v>
      </c>
      <c r="AQ34" s="5">
        <v>1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1</v>
      </c>
      <c r="AX34" s="37"/>
      <c r="AY34" s="55"/>
      <c r="BF34" s="37"/>
      <c r="BG34" s="37"/>
      <c r="BH34" s="37"/>
      <c r="BI34" s="37"/>
      <c r="BJ34" s="37"/>
      <c r="BK34" s="37"/>
    </row>
    <row r="35" spans="1:63" x14ac:dyDescent="0.35">
      <c r="A35" s="20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64"/>
      <c r="Z35" s="5">
        <v>538</v>
      </c>
      <c r="AA35" s="5">
        <v>538</v>
      </c>
      <c r="AB35" s="5">
        <v>538</v>
      </c>
      <c r="AC35" s="5">
        <v>537</v>
      </c>
      <c r="AD35" s="5">
        <v>537</v>
      </c>
      <c r="AE35" s="5">
        <v>538</v>
      </c>
      <c r="AF35" s="5">
        <v>1075</v>
      </c>
      <c r="AG35" s="5">
        <v>1075</v>
      </c>
      <c r="AH35" s="5">
        <v>1075</v>
      </c>
      <c r="AI35" s="5">
        <v>1075</v>
      </c>
      <c r="AJ35" s="5">
        <v>538</v>
      </c>
      <c r="AK35" s="5">
        <v>536</v>
      </c>
      <c r="AL35" s="5">
        <v>537</v>
      </c>
      <c r="AM35" s="5">
        <v>537</v>
      </c>
      <c r="AN35" s="5">
        <v>536</v>
      </c>
      <c r="AO35" s="5">
        <v>537</v>
      </c>
      <c r="AP35" s="5">
        <v>0</v>
      </c>
      <c r="AQ35" s="5">
        <v>0</v>
      </c>
      <c r="AR35" s="5">
        <v>0</v>
      </c>
      <c r="AS35" s="5">
        <v>0</v>
      </c>
      <c r="AT35" s="5">
        <v>536</v>
      </c>
      <c r="AU35" s="5">
        <v>536</v>
      </c>
      <c r="AV35" s="5">
        <v>558</v>
      </c>
      <c r="AW35" s="5">
        <v>546</v>
      </c>
      <c r="AX35" s="50"/>
    </row>
    <row r="36" spans="1:63" s="48" customFormat="1" x14ac:dyDescent="0.35">
      <c r="A36" s="15"/>
      <c r="B36" s="55">
        <f>Z36*$AY36*4545</f>
        <v>75.999757188498407</v>
      </c>
      <c r="C36" s="55">
        <f t="shared" ref="C36:Y36" si="29">AA36*$AY36*4545</f>
        <v>74.999760383386572</v>
      </c>
      <c r="D36" s="55">
        <f t="shared" si="29"/>
        <v>75.999757188498407</v>
      </c>
      <c r="E36" s="55">
        <f t="shared" si="29"/>
        <v>74.999760383386572</v>
      </c>
      <c r="F36" s="55">
        <f t="shared" si="29"/>
        <v>75.999757188498407</v>
      </c>
      <c r="G36" s="55">
        <f t="shared" si="29"/>
        <v>75.999757188498407</v>
      </c>
      <c r="H36" s="55">
        <f t="shared" si="29"/>
        <v>75.999757188498407</v>
      </c>
      <c r="I36" s="55">
        <f t="shared" si="29"/>
        <v>69.999776357827486</v>
      </c>
      <c r="J36" s="55">
        <f t="shared" si="29"/>
        <v>76.999753993610227</v>
      </c>
      <c r="K36" s="55">
        <f t="shared" si="29"/>
        <v>117.99962300319488</v>
      </c>
      <c r="L36" s="55">
        <f t="shared" si="29"/>
        <v>115.99962939297124</v>
      </c>
      <c r="M36" s="55">
        <f t="shared" si="29"/>
        <v>107.99965495207668</v>
      </c>
      <c r="N36" s="55">
        <f t="shared" si="29"/>
        <v>85.999725239616623</v>
      </c>
      <c r="O36" s="55">
        <f t="shared" si="29"/>
        <v>69.999776357827486</v>
      </c>
      <c r="P36" s="55">
        <f t="shared" si="29"/>
        <v>70.999773162939306</v>
      </c>
      <c r="Q36" s="55">
        <f t="shared" si="29"/>
        <v>69.999776357827486</v>
      </c>
      <c r="R36" s="55">
        <f t="shared" si="29"/>
        <v>69.999776357827486</v>
      </c>
      <c r="S36" s="55">
        <f t="shared" si="29"/>
        <v>69.999776357827486</v>
      </c>
      <c r="T36" s="55">
        <f t="shared" si="29"/>
        <v>70.999773162939306</v>
      </c>
      <c r="U36" s="55">
        <f t="shared" si="29"/>
        <v>70.999773162939306</v>
      </c>
      <c r="V36" s="55">
        <f t="shared" si="29"/>
        <v>69.999776357827486</v>
      </c>
      <c r="W36" s="55">
        <f t="shared" si="29"/>
        <v>69.999776357827486</v>
      </c>
      <c r="X36" s="55">
        <f t="shared" si="29"/>
        <v>69.999776357827486</v>
      </c>
      <c r="Y36" s="64">
        <f t="shared" si="29"/>
        <v>69.999776357827486</v>
      </c>
      <c r="Z36" s="4">
        <f>Z37/SUM($Z37:$AW37)</f>
        <v>4.0468583599574018E-2</v>
      </c>
      <c r="AA36" s="4">
        <f t="shared" ref="AA36:AW36" si="30">AA37/SUM($Z37:$AW37)</f>
        <v>3.9936102236421724E-2</v>
      </c>
      <c r="AB36" s="4">
        <f t="shared" si="30"/>
        <v>4.0468583599574018E-2</v>
      </c>
      <c r="AC36" s="4">
        <f t="shared" si="30"/>
        <v>3.9936102236421724E-2</v>
      </c>
      <c r="AD36" s="4">
        <f t="shared" si="30"/>
        <v>4.0468583599574018E-2</v>
      </c>
      <c r="AE36" s="4">
        <f t="shared" si="30"/>
        <v>4.0468583599574018E-2</v>
      </c>
      <c r="AF36" s="4">
        <f t="shared" si="30"/>
        <v>4.0468583599574018E-2</v>
      </c>
      <c r="AG36" s="4">
        <f t="shared" si="30"/>
        <v>3.727369542066028E-2</v>
      </c>
      <c r="AH36" s="4">
        <f t="shared" si="30"/>
        <v>4.1001064962726305E-2</v>
      </c>
      <c r="AI36" s="4">
        <f t="shared" si="30"/>
        <v>6.2832800851970183E-2</v>
      </c>
      <c r="AJ36" s="4">
        <f t="shared" si="30"/>
        <v>6.1767838125665601E-2</v>
      </c>
      <c r="AK36" s="4">
        <f t="shared" si="30"/>
        <v>5.7507987220447282E-2</v>
      </c>
      <c r="AL36" s="4">
        <f t="shared" si="30"/>
        <v>4.5793397231096912E-2</v>
      </c>
      <c r="AM36" s="4">
        <f t="shared" si="30"/>
        <v>3.727369542066028E-2</v>
      </c>
      <c r="AN36" s="4">
        <f t="shared" si="30"/>
        <v>3.7806176783812567E-2</v>
      </c>
      <c r="AO36" s="4">
        <f t="shared" si="30"/>
        <v>3.727369542066028E-2</v>
      </c>
      <c r="AP36" s="4">
        <f t="shared" si="30"/>
        <v>3.727369542066028E-2</v>
      </c>
      <c r="AQ36" s="4">
        <f t="shared" si="30"/>
        <v>3.727369542066028E-2</v>
      </c>
      <c r="AR36" s="4">
        <f t="shared" si="30"/>
        <v>3.7806176783812567E-2</v>
      </c>
      <c r="AS36" s="4">
        <f t="shared" si="30"/>
        <v>3.7806176783812567E-2</v>
      </c>
      <c r="AT36" s="4">
        <f t="shared" si="30"/>
        <v>3.727369542066028E-2</v>
      </c>
      <c r="AU36" s="4">
        <f t="shared" si="30"/>
        <v>3.727369542066028E-2</v>
      </c>
      <c r="AV36" s="4">
        <f t="shared" si="30"/>
        <v>3.727369542066028E-2</v>
      </c>
      <c r="AW36" s="4">
        <f t="shared" si="30"/>
        <v>3.727369542066028E-2</v>
      </c>
      <c r="AX36" s="50"/>
      <c r="AY36" s="20">
        <v>0.41320000000000001</v>
      </c>
    </row>
    <row r="37" spans="1:63" s="20" customFormat="1" x14ac:dyDescent="0.35"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64"/>
      <c r="Z37" s="5">
        <v>76</v>
      </c>
      <c r="AA37" s="5">
        <v>75</v>
      </c>
      <c r="AB37" s="5">
        <v>76</v>
      </c>
      <c r="AC37" s="5">
        <v>75</v>
      </c>
      <c r="AD37" s="5">
        <v>76</v>
      </c>
      <c r="AE37" s="5">
        <v>76</v>
      </c>
      <c r="AF37" s="5">
        <v>76</v>
      </c>
      <c r="AG37" s="5">
        <v>70</v>
      </c>
      <c r="AH37" s="5">
        <v>77</v>
      </c>
      <c r="AI37" s="5">
        <v>118</v>
      </c>
      <c r="AJ37" s="5">
        <v>116</v>
      </c>
      <c r="AK37" s="5">
        <v>108</v>
      </c>
      <c r="AL37" s="5">
        <v>86</v>
      </c>
      <c r="AM37" s="5">
        <v>70</v>
      </c>
      <c r="AN37" s="5">
        <v>71</v>
      </c>
      <c r="AO37" s="5">
        <v>70</v>
      </c>
      <c r="AP37" s="5">
        <v>70</v>
      </c>
      <c r="AQ37" s="5">
        <v>70</v>
      </c>
      <c r="AR37" s="5">
        <v>71</v>
      </c>
      <c r="AS37" s="5">
        <v>71</v>
      </c>
      <c r="AT37" s="5">
        <v>70</v>
      </c>
      <c r="AU37" s="5">
        <v>70</v>
      </c>
      <c r="AV37" s="5">
        <v>70</v>
      </c>
      <c r="AW37" s="5">
        <v>70</v>
      </c>
      <c r="AX37" s="56"/>
    </row>
    <row r="38" spans="1:63" s="20" customFormat="1" x14ac:dyDescent="0.35">
      <c r="A38" s="46" t="s">
        <v>151</v>
      </c>
      <c r="B38" s="55">
        <f t="shared" ref="B38:Y38" si="31">$AX38*Z38*4545</f>
        <v>243.28761651131825</v>
      </c>
      <c r="C38" s="55">
        <f t="shared" si="31"/>
        <v>223.59290469849722</v>
      </c>
      <c r="D38" s="55">
        <f t="shared" si="31"/>
        <v>217.80034240060871</v>
      </c>
      <c r="E38" s="55">
        <f t="shared" si="31"/>
        <v>231.7024919155412</v>
      </c>
      <c r="F38" s="55">
        <f t="shared" si="31"/>
        <v>225.90992961765267</v>
      </c>
      <c r="G38" s="55">
        <f t="shared" si="31"/>
        <v>200.42265550694313</v>
      </c>
      <c r="H38" s="55">
        <f t="shared" si="31"/>
        <v>218.95885486018642</v>
      </c>
      <c r="I38" s="55">
        <f t="shared" si="31"/>
        <v>202.73968042609857</v>
      </c>
      <c r="J38" s="55">
        <f t="shared" si="31"/>
        <v>252.55571618793991</v>
      </c>
      <c r="K38" s="55">
        <f t="shared" si="31"/>
        <v>222.43439223891954</v>
      </c>
      <c r="L38" s="55">
        <f t="shared" si="31"/>
        <v>186.52050599201064</v>
      </c>
      <c r="M38" s="55">
        <f t="shared" si="31"/>
        <v>227.06844207723037</v>
      </c>
      <c r="N38" s="55">
        <f t="shared" si="31"/>
        <v>244.44612897089596</v>
      </c>
      <c r="O38" s="55">
        <f t="shared" si="31"/>
        <v>295.42067719231505</v>
      </c>
      <c r="P38" s="55">
        <f t="shared" si="31"/>
        <v>317.43241392429138</v>
      </c>
      <c r="Q38" s="55">
        <f t="shared" si="31"/>
        <v>287.31108997527105</v>
      </c>
      <c r="R38" s="55">
        <f t="shared" si="31"/>
        <v>253.71422864751761</v>
      </c>
      <c r="S38" s="55">
        <f t="shared" si="31"/>
        <v>301.21323949020359</v>
      </c>
      <c r="T38" s="55">
        <f t="shared" si="31"/>
        <v>290.78662735400422</v>
      </c>
      <c r="U38" s="55">
        <f t="shared" si="31"/>
        <v>249.08017880920679</v>
      </c>
      <c r="V38" s="55">
        <f t="shared" si="31"/>
        <v>295.42067719231505</v>
      </c>
      <c r="W38" s="55">
        <f t="shared" si="31"/>
        <v>307.00580178809207</v>
      </c>
      <c r="X38" s="55">
        <f t="shared" si="31"/>
        <v>301.21323949020359</v>
      </c>
      <c r="Y38" s="64">
        <f t="shared" si="31"/>
        <v>294.26216473273729</v>
      </c>
      <c r="Z38" s="4">
        <f>SUM(Z39:Z42)/SUM($Z39:$AW42)</f>
        <v>3.9946737683089213E-2</v>
      </c>
      <c r="AA38" s="4">
        <f t="shared" ref="AA38:AW38" si="32">SUM(AA39:AA42)/SUM($Z39:$AW42)</f>
        <v>3.6712954156362942E-2</v>
      </c>
      <c r="AB38" s="4">
        <f t="shared" si="32"/>
        <v>3.5761841354384628E-2</v>
      </c>
      <c r="AC38" s="4">
        <f t="shared" si="32"/>
        <v>3.8044512079132585E-2</v>
      </c>
      <c r="AD38" s="4">
        <f t="shared" si="32"/>
        <v>3.7093399277154271E-2</v>
      </c>
      <c r="AE38" s="4">
        <f t="shared" si="32"/>
        <v>3.2908502948449686E-2</v>
      </c>
      <c r="AF38" s="4">
        <f t="shared" si="32"/>
        <v>3.5952063914780293E-2</v>
      </c>
      <c r="AG38" s="4">
        <f t="shared" si="32"/>
        <v>3.3288948069241014E-2</v>
      </c>
      <c r="AH38" s="4">
        <f t="shared" si="32"/>
        <v>4.146851816625452E-2</v>
      </c>
      <c r="AI38" s="4">
        <f t="shared" si="32"/>
        <v>3.6522731595967278E-2</v>
      </c>
      <c r="AJ38" s="4">
        <f t="shared" si="32"/>
        <v>3.0625832223701729E-2</v>
      </c>
      <c r="AK38" s="4">
        <f t="shared" si="32"/>
        <v>3.7283621837549935E-2</v>
      </c>
      <c r="AL38" s="4">
        <f t="shared" si="32"/>
        <v>4.0136960243484877E-2</v>
      </c>
      <c r="AM38" s="4">
        <f t="shared" si="32"/>
        <v>4.8506752900894047E-2</v>
      </c>
      <c r="AN38" s="4">
        <f t="shared" si="32"/>
        <v>5.2120981548411639E-2</v>
      </c>
      <c r="AO38" s="4">
        <f t="shared" si="32"/>
        <v>4.7175194978124405E-2</v>
      </c>
      <c r="AP38" s="4">
        <f t="shared" si="32"/>
        <v>4.1658740726650184E-2</v>
      </c>
      <c r="AQ38" s="4">
        <f t="shared" si="32"/>
        <v>4.9457865702872361E-2</v>
      </c>
      <c r="AR38" s="4">
        <f t="shared" si="32"/>
        <v>4.7745862659311397E-2</v>
      </c>
      <c r="AS38" s="4">
        <f t="shared" si="32"/>
        <v>4.0897850485067527E-2</v>
      </c>
      <c r="AT38" s="4">
        <f t="shared" si="32"/>
        <v>4.8506752900894047E-2</v>
      </c>
      <c r="AU38" s="4">
        <f t="shared" si="32"/>
        <v>5.0408978504850675E-2</v>
      </c>
      <c r="AV38" s="4">
        <f t="shared" si="32"/>
        <v>4.9457865702872361E-2</v>
      </c>
      <c r="AW38" s="4">
        <f t="shared" si="32"/>
        <v>4.8316530340498383E-2</v>
      </c>
      <c r="AX38" s="37">
        <v>1.34</v>
      </c>
      <c r="AY38" s="55"/>
      <c r="AZ38"/>
      <c r="BA38"/>
      <c r="BB38"/>
      <c r="BC38"/>
      <c r="BD38"/>
      <c r="BE38"/>
      <c r="BF38" s="37">
        <v>1.1965218989619999</v>
      </c>
      <c r="BG38" s="37">
        <v>1.1638437798727017</v>
      </c>
      <c r="BH38" s="37">
        <v>1.09346013875729</v>
      </c>
      <c r="BI38" s="37">
        <v>1.1060286460993276</v>
      </c>
      <c r="BJ38" s="37">
        <v>1.0909464372888824</v>
      </c>
      <c r="BK38" s="37">
        <v>1.0356450049839161</v>
      </c>
    </row>
    <row r="39" spans="1:63" s="20" customFormat="1" x14ac:dyDescent="0.35"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64"/>
      <c r="Z39" s="65">
        <v>0</v>
      </c>
      <c r="AA39" s="65">
        <v>0</v>
      </c>
      <c r="AB39" s="65">
        <v>0</v>
      </c>
      <c r="AC39" s="65">
        <v>0</v>
      </c>
      <c r="AD39" s="65">
        <v>0</v>
      </c>
      <c r="AE39" s="65">
        <v>0</v>
      </c>
      <c r="AF39" s="65">
        <v>0</v>
      </c>
      <c r="AG39" s="65">
        <v>0</v>
      </c>
      <c r="AH39" s="65">
        <v>0</v>
      </c>
      <c r="AI39" s="65">
        <v>0</v>
      </c>
      <c r="AJ39" s="65">
        <v>0</v>
      </c>
      <c r="AK39" s="65">
        <v>0</v>
      </c>
      <c r="AL39" s="65">
        <v>0</v>
      </c>
      <c r="AM39" s="65">
        <v>0</v>
      </c>
      <c r="AN39" s="65">
        <v>0</v>
      </c>
      <c r="AO39" s="65">
        <v>0</v>
      </c>
      <c r="AP39" s="65">
        <v>0</v>
      </c>
      <c r="AQ39" s="65">
        <v>0</v>
      </c>
      <c r="AR39" s="65">
        <v>0</v>
      </c>
      <c r="AS39" s="65">
        <v>0</v>
      </c>
      <c r="AT39" s="65">
        <v>0</v>
      </c>
      <c r="AU39" s="65">
        <v>0</v>
      </c>
      <c r="AV39" s="65">
        <v>0</v>
      </c>
      <c r="AW39" s="65">
        <v>0</v>
      </c>
      <c r="AX39" s="36"/>
      <c r="AY39" s="55"/>
      <c r="BF39" s="36"/>
      <c r="BG39" s="36"/>
      <c r="BH39" s="36"/>
      <c r="BI39" s="36"/>
      <c r="BJ39" s="36"/>
      <c r="BK39" s="36"/>
    </row>
    <row r="40" spans="1:63" s="20" customFormat="1" x14ac:dyDescent="0.35"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64"/>
      <c r="Z40" s="65">
        <v>0</v>
      </c>
      <c r="AA40" s="65">
        <v>0</v>
      </c>
      <c r="AB40" s="65">
        <v>0</v>
      </c>
      <c r="AC40" s="65">
        <v>0</v>
      </c>
      <c r="AD40" s="65">
        <v>0</v>
      </c>
      <c r="AE40" s="65">
        <v>0</v>
      </c>
      <c r="AF40" s="65">
        <v>0</v>
      </c>
      <c r="AG40" s="65">
        <v>0</v>
      </c>
      <c r="AH40" s="65">
        <v>0</v>
      </c>
      <c r="AI40" s="65">
        <v>0</v>
      </c>
      <c r="AJ40" s="65">
        <v>0</v>
      </c>
      <c r="AK40" s="65">
        <v>0</v>
      </c>
      <c r="AL40" s="65">
        <v>0</v>
      </c>
      <c r="AM40" s="65">
        <v>0</v>
      </c>
      <c r="AN40" s="65">
        <v>0</v>
      </c>
      <c r="AO40" s="65">
        <v>0</v>
      </c>
      <c r="AP40" s="65">
        <v>0</v>
      </c>
      <c r="AQ40" s="65">
        <v>0</v>
      </c>
      <c r="AR40" s="65">
        <v>0</v>
      </c>
      <c r="AS40" s="65">
        <v>0</v>
      </c>
      <c r="AT40" s="65">
        <v>0</v>
      </c>
      <c r="AU40" s="65">
        <v>0</v>
      </c>
      <c r="AV40" s="65">
        <v>0</v>
      </c>
      <c r="AW40" s="65">
        <v>0</v>
      </c>
      <c r="AX40" s="36"/>
      <c r="AY40" s="55"/>
      <c r="BF40" s="36"/>
      <c r="BG40" s="36"/>
      <c r="BH40" s="36"/>
      <c r="BI40" s="36"/>
      <c r="BJ40" s="36"/>
      <c r="BK40" s="36"/>
    </row>
    <row r="41" spans="1:63" s="20" customFormat="1" x14ac:dyDescent="0.35"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64"/>
      <c r="Z41" s="5">
        <v>210</v>
      </c>
      <c r="AA41" s="5">
        <v>193</v>
      </c>
      <c r="AB41" s="5">
        <v>188</v>
      </c>
      <c r="AC41" s="5">
        <v>200</v>
      </c>
      <c r="AD41" s="5">
        <v>195</v>
      </c>
      <c r="AE41" s="5">
        <v>173</v>
      </c>
      <c r="AF41" s="5">
        <v>189</v>
      </c>
      <c r="AG41" s="5">
        <v>175</v>
      </c>
      <c r="AH41" s="5">
        <v>218</v>
      </c>
      <c r="AI41" s="5">
        <v>192</v>
      </c>
      <c r="AJ41" s="5">
        <v>161</v>
      </c>
      <c r="AK41" s="5">
        <v>196</v>
      </c>
      <c r="AL41" s="5">
        <v>211</v>
      </c>
      <c r="AM41" s="5">
        <v>255</v>
      </c>
      <c r="AN41" s="5">
        <v>274</v>
      </c>
      <c r="AO41" s="5">
        <v>248</v>
      </c>
      <c r="AP41" s="5">
        <v>219</v>
      </c>
      <c r="AQ41" s="5">
        <v>260</v>
      </c>
      <c r="AR41" s="5">
        <v>251</v>
      </c>
      <c r="AS41" s="5">
        <v>215</v>
      </c>
      <c r="AT41" s="5">
        <v>255</v>
      </c>
      <c r="AU41" s="5">
        <v>265</v>
      </c>
      <c r="AV41" s="5">
        <v>260</v>
      </c>
      <c r="AW41" s="5">
        <v>254</v>
      </c>
      <c r="AX41" s="36"/>
      <c r="AY41" s="55"/>
      <c r="BF41" s="36"/>
      <c r="BG41" s="36"/>
      <c r="BH41" s="36"/>
      <c r="BI41" s="36"/>
      <c r="BJ41" s="36"/>
      <c r="BK41" s="36"/>
    </row>
    <row r="42" spans="1:63" s="20" customFormat="1" x14ac:dyDescent="0.35"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64"/>
      <c r="Z42" s="65">
        <v>0</v>
      </c>
      <c r="AA42" s="65">
        <v>0</v>
      </c>
      <c r="AB42" s="65">
        <v>0</v>
      </c>
      <c r="AC42" s="65">
        <v>0</v>
      </c>
      <c r="AD42" s="65">
        <v>0</v>
      </c>
      <c r="AE42" s="65">
        <v>0</v>
      </c>
      <c r="AF42" s="65">
        <v>0</v>
      </c>
      <c r="AG42" s="65">
        <v>0</v>
      </c>
      <c r="AH42" s="65">
        <v>0</v>
      </c>
      <c r="AI42" s="65">
        <v>0</v>
      </c>
      <c r="AJ42" s="65">
        <v>0</v>
      </c>
      <c r="AK42" s="65">
        <v>0</v>
      </c>
      <c r="AL42" s="65">
        <v>0</v>
      </c>
      <c r="AM42" s="65">
        <v>0</v>
      </c>
      <c r="AN42" s="65">
        <v>0</v>
      </c>
      <c r="AO42" s="65">
        <v>0</v>
      </c>
      <c r="AP42" s="65">
        <v>0</v>
      </c>
      <c r="AQ42" s="65">
        <v>0</v>
      </c>
      <c r="AR42" s="65">
        <v>0</v>
      </c>
      <c r="AS42" s="65">
        <v>0</v>
      </c>
      <c r="AT42" s="65">
        <v>0</v>
      </c>
      <c r="AU42" s="65">
        <v>0</v>
      </c>
      <c r="AV42" s="65">
        <v>0</v>
      </c>
      <c r="AW42" s="65">
        <v>0</v>
      </c>
      <c r="AX42" s="36"/>
      <c r="AY42" s="55"/>
      <c r="BF42" s="36"/>
      <c r="BG42" s="36"/>
      <c r="BH42" s="36"/>
      <c r="BI42" s="36"/>
      <c r="BJ42" s="36"/>
      <c r="BK42" s="36"/>
    </row>
    <row r="43" spans="1:63" x14ac:dyDescent="0.35">
      <c r="A43" s="46" t="s">
        <v>150</v>
      </c>
      <c r="B43" s="55">
        <f t="shared" ref="B43:Y43" si="33">$AX43*Z43*4545</f>
        <v>1174.7492778249789</v>
      </c>
      <c r="C43" s="55">
        <f t="shared" si="33"/>
        <v>1106.1430756159727</v>
      </c>
      <c r="D43" s="55">
        <f t="shared" si="33"/>
        <v>1036.481393372982</v>
      </c>
      <c r="E43" s="55">
        <f t="shared" si="33"/>
        <v>1012.2053525913338</v>
      </c>
      <c r="F43" s="55">
        <f t="shared" si="33"/>
        <v>1052.3135938827527</v>
      </c>
      <c r="G43" s="55">
        <f t="shared" si="33"/>
        <v>1182.1376380628717</v>
      </c>
      <c r="H43" s="55">
        <f t="shared" si="33"/>
        <v>1765.8180968564145</v>
      </c>
      <c r="I43" s="55">
        <f t="shared" si="33"/>
        <v>1890.3647408666097</v>
      </c>
      <c r="J43" s="55">
        <f t="shared" si="33"/>
        <v>1953.6935429056923</v>
      </c>
      <c r="K43" s="55">
        <f t="shared" si="33"/>
        <v>1988.5243840271876</v>
      </c>
      <c r="L43" s="55">
        <f t="shared" si="33"/>
        <v>1995.9127442650806</v>
      </c>
      <c r="M43" s="55">
        <f t="shared" si="33"/>
        <v>1980.0805437553099</v>
      </c>
      <c r="N43" s="55">
        <f t="shared" si="33"/>
        <v>1989.5798640611722</v>
      </c>
      <c r="O43" s="55">
        <f t="shared" si="33"/>
        <v>1987.4689039932032</v>
      </c>
      <c r="P43" s="55">
        <f t="shared" si="33"/>
        <v>1928.3620220900596</v>
      </c>
      <c r="Q43" s="55">
        <f t="shared" si="33"/>
        <v>1855.5338997451147</v>
      </c>
      <c r="R43" s="55">
        <f t="shared" si="33"/>
        <v>1950.5271028037382</v>
      </c>
      <c r="S43" s="55">
        <f t="shared" si="33"/>
        <v>2020.1887850467288</v>
      </c>
      <c r="T43" s="55">
        <f t="shared" si="33"/>
        <v>2091.961427357689</v>
      </c>
      <c r="U43" s="55">
        <f t="shared" si="33"/>
        <v>2103.5717077315207</v>
      </c>
      <c r="V43" s="55">
        <f t="shared" si="33"/>
        <v>2038.1319456244689</v>
      </c>
      <c r="W43" s="55">
        <f t="shared" si="33"/>
        <v>1962.13738317757</v>
      </c>
      <c r="X43" s="55">
        <f t="shared" si="33"/>
        <v>1577.9426508071367</v>
      </c>
      <c r="Y43" s="64">
        <f t="shared" si="33"/>
        <v>1352.0699235344093</v>
      </c>
      <c r="Z43" s="4">
        <f t="shared" ref="Z43:AW43" si="34">Z44/SUM($Z44:$AW44)</f>
        <v>2.8655286939059242E-2</v>
      </c>
      <c r="AA43" s="4">
        <f t="shared" si="34"/>
        <v>2.6981797585026134E-2</v>
      </c>
      <c r="AB43" s="4">
        <f t="shared" si="34"/>
        <v>2.5282562240930975E-2</v>
      </c>
      <c r="AC43" s="4">
        <f t="shared" si="34"/>
        <v>2.4690404469503876E-2</v>
      </c>
      <c r="AD43" s="4">
        <f t="shared" si="34"/>
        <v>2.5668752091861691E-2</v>
      </c>
      <c r="AE43" s="4">
        <f t="shared" si="34"/>
        <v>2.8835508869493577E-2</v>
      </c>
      <c r="AF43" s="4">
        <f t="shared" si="34"/>
        <v>4.3073041373806027E-2</v>
      </c>
      <c r="AG43" s="4">
        <f t="shared" si="34"/>
        <v>4.6111068201127675E-2</v>
      </c>
      <c r="AH43" s="4">
        <f t="shared" si="34"/>
        <v>4.7655827604850542E-2</v>
      </c>
      <c r="AI43" s="4">
        <f t="shared" si="34"/>
        <v>4.8505445276898124E-2</v>
      </c>
      <c r="AJ43" s="4">
        <f t="shared" si="34"/>
        <v>4.8685667207332459E-2</v>
      </c>
      <c r="AK43" s="4">
        <f t="shared" si="34"/>
        <v>4.8299477356401742E-2</v>
      </c>
      <c r="AL43" s="4">
        <f t="shared" si="34"/>
        <v>4.8531191266960171E-2</v>
      </c>
      <c r="AM43" s="4">
        <f t="shared" si="34"/>
        <v>4.8479699286836077E-2</v>
      </c>
      <c r="AN43" s="4">
        <f t="shared" si="34"/>
        <v>4.7037923843361397E-2</v>
      </c>
      <c r="AO43" s="4">
        <f t="shared" si="34"/>
        <v>4.5261450529080094E-2</v>
      </c>
      <c r="AP43" s="4">
        <f t="shared" si="34"/>
        <v>4.7578589634664402E-2</v>
      </c>
      <c r="AQ43" s="4">
        <f t="shared" si="34"/>
        <v>4.9277824978759557E-2</v>
      </c>
      <c r="AR43" s="4">
        <f t="shared" si="34"/>
        <v>5.1028552302978814E-2</v>
      </c>
      <c r="AS43" s="4">
        <f t="shared" si="34"/>
        <v>5.1311758193661336E-2</v>
      </c>
      <c r="AT43" s="4">
        <f t="shared" si="34"/>
        <v>4.9715506809814375E-2</v>
      </c>
      <c r="AU43" s="4">
        <f t="shared" si="34"/>
        <v>4.7861795525346924E-2</v>
      </c>
      <c r="AV43" s="4">
        <f t="shared" si="34"/>
        <v>3.8490255142761512E-2</v>
      </c>
      <c r="AW43" s="4">
        <f t="shared" si="34"/>
        <v>3.2980613269483275E-2</v>
      </c>
      <c r="AX43" s="37">
        <v>9.02</v>
      </c>
      <c r="AY43" s="55"/>
      <c r="BF43" s="37">
        <v>10.297690329315017</v>
      </c>
      <c r="BG43" s="37">
        <v>9.7989385580695085</v>
      </c>
      <c r="BH43" s="37">
        <v>9.9352716162687358</v>
      </c>
      <c r="BI43" s="37">
        <v>9.9432243779970246</v>
      </c>
      <c r="BJ43" s="37">
        <v>9.5390536658772316</v>
      </c>
      <c r="BK43" s="37">
        <v>9.0684205878853135</v>
      </c>
    </row>
    <row r="44" spans="1:63" s="20" customFormat="1" x14ac:dyDescent="0.35"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64"/>
      <c r="Z44" s="5">
        <v>1113</v>
      </c>
      <c r="AA44" s="5">
        <v>1048</v>
      </c>
      <c r="AB44" s="5">
        <v>982</v>
      </c>
      <c r="AC44" s="5">
        <v>959</v>
      </c>
      <c r="AD44" s="5">
        <v>997</v>
      </c>
      <c r="AE44" s="5">
        <v>1120</v>
      </c>
      <c r="AF44" s="5">
        <v>1673</v>
      </c>
      <c r="AG44" s="5">
        <v>1791</v>
      </c>
      <c r="AH44" s="5">
        <v>1851</v>
      </c>
      <c r="AI44" s="5">
        <v>1884</v>
      </c>
      <c r="AJ44" s="5">
        <v>1891</v>
      </c>
      <c r="AK44" s="5">
        <v>1876</v>
      </c>
      <c r="AL44" s="5">
        <v>1885</v>
      </c>
      <c r="AM44" s="5">
        <v>1883</v>
      </c>
      <c r="AN44" s="5">
        <v>1827</v>
      </c>
      <c r="AO44" s="5">
        <v>1758</v>
      </c>
      <c r="AP44" s="5">
        <v>1848</v>
      </c>
      <c r="AQ44" s="5">
        <v>1914</v>
      </c>
      <c r="AR44" s="5">
        <v>1982</v>
      </c>
      <c r="AS44" s="5">
        <v>1993</v>
      </c>
      <c r="AT44" s="5">
        <v>1931</v>
      </c>
      <c r="AU44" s="5">
        <v>1859</v>
      </c>
      <c r="AV44" s="5">
        <v>1495</v>
      </c>
      <c r="AW44" s="5">
        <v>1281</v>
      </c>
      <c r="AX44" s="56"/>
    </row>
    <row r="45" spans="1:63" x14ac:dyDescent="0.35">
      <c r="A45" s="20"/>
      <c r="B45" s="55">
        <f>$AY45*4545/24</f>
        <v>58.706250000000004</v>
      </c>
      <c r="C45" s="55">
        <f t="shared" ref="C45:Y45" si="35">$AY45*4545/24</f>
        <v>58.706250000000004</v>
      </c>
      <c r="D45" s="55">
        <f t="shared" si="35"/>
        <v>58.706250000000004</v>
      </c>
      <c r="E45" s="55">
        <f t="shared" si="35"/>
        <v>58.706250000000004</v>
      </c>
      <c r="F45" s="55">
        <f t="shared" si="35"/>
        <v>58.706250000000004</v>
      </c>
      <c r="G45" s="55">
        <f t="shared" si="35"/>
        <v>58.706250000000004</v>
      </c>
      <c r="H45" s="55">
        <f t="shared" si="35"/>
        <v>58.706250000000004</v>
      </c>
      <c r="I45" s="55">
        <f t="shared" si="35"/>
        <v>58.706250000000004</v>
      </c>
      <c r="J45" s="55">
        <f t="shared" si="35"/>
        <v>58.706250000000004</v>
      </c>
      <c r="K45" s="55">
        <f t="shared" si="35"/>
        <v>58.706250000000004</v>
      </c>
      <c r="L45" s="55">
        <f t="shared" si="35"/>
        <v>58.706250000000004</v>
      </c>
      <c r="M45" s="55">
        <f t="shared" si="35"/>
        <v>58.706250000000004</v>
      </c>
      <c r="N45" s="55">
        <f t="shared" si="35"/>
        <v>58.706250000000004</v>
      </c>
      <c r="O45" s="55">
        <f t="shared" si="35"/>
        <v>58.706250000000004</v>
      </c>
      <c r="P45" s="55">
        <f t="shared" si="35"/>
        <v>58.706250000000004</v>
      </c>
      <c r="Q45" s="55">
        <f t="shared" si="35"/>
        <v>58.706250000000004</v>
      </c>
      <c r="R45" s="55">
        <f t="shared" si="35"/>
        <v>58.706250000000004</v>
      </c>
      <c r="S45" s="55">
        <f t="shared" si="35"/>
        <v>58.706250000000004</v>
      </c>
      <c r="T45" s="55">
        <f t="shared" si="35"/>
        <v>58.706250000000004</v>
      </c>
      <c r="U45" s="55">
        <f t="shared" si="35"/>
        <v>58.706250000000004</v>
      </c>
      <c r="V45" s="55">
        <f t="shared" si="35"/>
        <v>58.706250000000004</v>
      </c>
      <c r="W45" s="55">
        <f t="shared" si="35"/>
        <v>58.706250000000004</v>
      </c>
      <c r="X45" s="55">
        <f t="shared" si="35"/>
        <v>58.706250000000004</v>
      </c>
      <c r="Y45" s="55">
        <f t="shared" si="35"/>
        <v>58.706250000000004</v>
      </c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36"/>
      <c r="AY45" s="36">
        <v>0.31</v>
      </c>
      <c r="AZ45" s="20"/>
      <c r="BA45" s="20"/>
      <c r="BB45" s="20"/>
      <c r="BC45" s="20"/>
      <c r="BD45" s="20"/>
      <c r="BE45" s="20"/>
      <c r="BF45" s="36"/>
      <c r="BG45" s="36"/>
      <c r="BH45" s="36"/>
      <c r="BI45" s="36"/>
      <c r="BJ45" s="36"/>
      <c r="BK45" s="36"/>
    </row>
    <row r="46" spans="1:63" s="48" customFormat="1" x14ac:dyDescent="0.35">
      <c r="A46" s="46" t="s">
        <v>149</v>
      </c>
      <c r="B46" s="55">
        <f t="shared" ref="B46:Y46" ca="1" si="36">$AX46*Z46*4545</f>
        <v>1299.1904086293212</v>
      </c>
      <c r="C46" s="55">
        <f t="shared" ca="1" si="36"/>
        <v>1064.3497336050782</v>
      </c>
      <c r="D46" s="55">
        <f t="shared" ca="1" si="36"/>
        <v>872.76840190202586</v>
      </c>
      <c r="E46" s="55">
        <f t="shared" ca="1" si="36"/>
        <v>900.01929768755133</v>
      </c>
      <c r="F46" s="55">
        <f t="shared" ca="1" si="36"/>
        <v>1335.9329370851524</v>
      </c>
      <c r="G46" s="55">
        <f t="shared" ca="1" si="36"/>
        <v>1911.08131947072</v>
      </c>
      <c r="H46" s="55">
        <f t="shared" ca="1" si="36"/>
        <v>2392.7250996548742</v>
      </c>
      <c r="I46" s="55">
        <f t="shared" ca="1" si="36"/>
        <v>2588.5929618775076</v>
      </c>
      <c r="J46" s="55">
        <f t="shared" ca="1" si="36"/>
        <v>2620.1931505428161</v>
      </c>
      <c r="K46" s="55">
        <f t="shared" ca="1" si="36"/>
        <v>2433.7683222382607</v>
      </c>
      <c r="L46" s="55">
        <f t="shared" ca="1" si="36"/>
        <v>2555.2358292082572</v>
      </c>
      <c r="M46" s="55">
        <f t="shared" ca="1" si="36"/>
        <v>2395.113118719973</v>
      </c>
      <c r="N46" s="55">
        <f t="shared" ca="1" si="36"/>
        <v>2339.4018178694391</v>
      </c>
      <c r="O46" s="55">
        <f t="shared" ca="1" si="36"/>
        <v>2400.3933033753165</v>
      </c>
      <c r="P46" s="55">
        <f t="shared" ca="1" si="36"/>
        <v>2373.701135858098</v>
      </c>
      <c r="Q46" s="55">
        <f t="shared" ca="1" si="36"/>
        <v>2276.7297489193293</v>
      </c>
      <c r="R46" s="55">
        <f t="shared" ca="1" si="36"/>
        <v>2286.0272984047515</v>
      </c>
      <c r="S46" s="55">
        <f t="shared" ca="1" si="36"/>
        <v>2290.0912784445377</v>
      </c>
      <c r="T46" s="55">
        <f t="shared" ca="1" si="36"/>
        <v>2311.4166872963806</v>
      </c>
      <c r="U46" s="55">
        <f t="shared" ca="1" si="36"/>
        <v>2068.6063004022931</v>
      </c>
      <c r="V46" s="55">
        <f t="shared" ca="1" si="36"/>
        <v>2085.1672525888334</v>
      </c>
      <c r="W46" s="55">
        <f t="shared" ca="1" si="36"/>
        <v>1849.975609243811</v>
      </c>
      <c r="X46" s="55">
        <f t="shared" ca="1" si="36"/>
        <v>1720.3810917821925</v>
      </c>
      <c r="Y46" s="64">
        <f t="shared" ca="1" si="36"/>
        <v>1669.7878951934729</v>
      </c>
      <c r="Z46" s="4">
        <f t="shared" ref="Z46:AW46" ca="1" si="37">SUM(Z48,Z50:Z52,Z54:Z57,Z61,Z59)/SUM($Z48:$AW48,$Z50:$AW52,$Z54:$AW57,$Z61:$AW61,$Z59:$AW59)</f>
        <v>2.7043564327903995E-2</v>
      </c>
      <c r="AA46" s="4">
        <f t="shared" ca="1" si="37"/>
        <v>2.2155190106817418E-2</v>
      </c>
      <c r="AB46" s="4">
        <f t="shared" ca="1" si="37"/>
        <v>1.8167289616231791E-2</v>
      </c>
      <c r="AC46" s="4">
        <f t="shared" ca="1" si="37"/>
        <v>1.8734536224791948E-2</v>
      </c>
      <c r="AD46" s="4">
        <f t="shared" ca="1" si="37"/>
        <v>2.7808385962412089E-2</v>
      </c>
      <c r="AE46" s="4">
        <f t="shared" ca="1" si="37"/>
        <v>3.9780505040433886E-2</v>
      </c>
      <c r="AF46" s="4">
        <f t="shared" ca="1" si="37"/>
        <v>4.9806259899790567E-2</v>
      </c>
      <c r="AG46" s="4">
        <f t="shared" ca="1" si="37"/>
        <v>5.3883387545287327E-2</v>
      </c>
      <c r="AH46" s="4">
        <f t="shared" ca="1" si="37"/>
        <v>5.4541167751535752E-2</v>
      </c>
      <c r="AI46" s="4">
        <f t="shared" ca="1" si="37"/>
        <v>5.066060351469559E-2</v>
      </c>
      <c r="AJ46" s="4">
        <f t="shared" ca="1" si="37"/>
        <v>5.3189035310893112E-2</v>
      </c>
      <c r="AK46" s="4">
        <f t="shared" ca="1" si="37"/>
        <v>4.9855968200263168E-2</v>
      </c>
      <c r="AL46" s="4">
        <f t="shared" ca="1" si="37"/>
        <v>4.8696298194746301E-2</v>
      </c>
      <c r="AM46" s="4">
        <f t="shared" ca="1" si="37"/>
        <v>4.9965878966569274E-2</v>
      </c>
      <c r="AN46" s="4">
        <f t="shared" ca="1" si="37"/>
        <v>4.9410262680835877E-2</v>
      </c>
      <c r="AO46" s="4">
        <f t="shared" ca="1" si="37"/>
        <v>4.7391734893664626E-2</v>
      </c>
      <c r="AP46" s="4">
        <f t="shared" ca="1" si="37"/>
        <v>4.7585269941284127E-2</v>
      </c>
      <c r="AQ46" s="4">
        <f t="shared" ca="1" si="37"/>
        <v>4.7669864551052862E-2</v>
      </c>
      <c r="AR46" s="4">
        <f t="shared" ca="1" si="37"/>
        <v>4.8113767971423797E-2</v>
      </c>
      <c r="AS46" s="4">
        <f t="shared" ca="1" si="37"/>
        <v>4.3059498578855472E-2</v>
      </c>
      <c r="AT46" s="4">
        <f t="shared" ca="1" si="37"/>
        <v>4.3404226474638319E-2</v>
      </c>
      <c r="AU46" s="4">
        <f t="shared" ca="1" si="37"/>
        <v>3.8508546600510424E-2</v>
      </c>
      <c r="AV46" s="4">
        <f t="shared" ca="1" si="37"/>
        <v>3.5810945351118117E-2</v>
      </c>
      <c r="AW46" s="4">
        <f t="shared" ca="1" si="37"/>
        <v>3.4757812294243996E-2</v>
      </c>
      <c r="AX46" s="50">
        <v>10.57</v>
      </c>
      <c r="AY46" s="65"/>
      <c r="AZ46"/>
      <c r="BA46"/>
      <c r="BB46"/>
      <c r="BC46"/>
      <c r="BD46"/>
      <c r="BE46"/>
      <c r="BF46" s="50">
        <v>11.077566721670738</v>
      </c>
      <c r="BG46" s="50">
        <v>10.958878506795692</v>
      </c>
      <c r="BH46" s="50">
        <v>10.92426111079047</v>
      </c>
      <c r="BI46" s="50">
        <v>10.486103784210103</v>
      </c>
      <c r="BJ46" s="50">
        <v>10.102213722754442</v>
      </c>
      <c r="BK46" s="50">
        <v>9.7996902748494303</v>
      </c>
    </row>
    <row r="47" spans="1:63" s="48" customFormat="1" x14ac:dyDescent="0.35">
      <c r="A47" s="20"/>
      <c r="B47" s="55">
        <f ca="1">Z47*$AY47</f>
        <v>0</v>
      </c>
      <c r="C47" s="55">
        <f t="shared" ref="C47:Y47" ca="1" si="38">AA47*$AY47</f>
        <v>0</v>
      </c>
      <c r="D47" s="55">
        <f t="shared" ca="1" si="38"/>
        <v>0</v>
      </c>
      <c r="E47" s="55">
        <f t="shared" ca="1" si="38"/>
        <v>0</v>
      </c>
      <c r="F47" s="55">
        <f t="shared" ca="1" si="38"/>
        <v>0</v>
      </c>
      <c r="G47" s="55">
        <f t="shared" ca="1" si="38"/>
        <v>0</v>
      </c>
      <c r="H47" s="55">
        <f t="shared" ca="1" si="38"/>
        <v>0</v>
      </c>
      <c r="I47" s="55">
        <f t="shared" ca="1" si="38"/>
        <v>0</v>
      </c>
      <c r="J47" s="55">
        <f t="shared" ca="1" si="38"/>
        <v>0</v>
      </c>
      <c r="K47" s="55">
        <f t="shared" ca="1" si="38"/>
        <v>0</v>
      </c>
      <c r="L47" s="55">
        <f t="shared" ca="1" si="38"/>
        <v>0</v>
      </c>
      <c r="M47" s="55">
        <f t="shared" ca="1" si="38"/>
        <v>0</v>
      </c>
      <c r="N47" s="55">
        <f t="shared" ca="1" si="38"/>
        <v>0</v>
      </c>
      <c r="O47" s="55">
        <f t="shared" ca="1" si="38"/>
        <v>0</v>
      </c>
      <c r="P47" s="55">
        <f t="shared" ca="1" si="38"/>
        <v>0</v>
      </c>
      <c r="Q47" s="55">
        <f t="shared" ca="1" si="38"/>
        <v>0</v>
      </c>
      <c r="R47" s="55">
        <f t="shared" ca="1" si="38"/>
        <v>0</v>
      </c>
      <c r="S47" s="55">
        <f t="shared" ca="1" si="38"/>
        <v>0</v>
      </c>
      <c r="T47" s="55">
        <f t="shared" ca="1" si="38"/>
        <v>0</v>
      </c>
      <c r="U47" s="55">
        <f t="shared" ca="1" si="38"/>
        <v>0</v>
      </c>
      <c r="V47" s="55">
        <f t="shared" ca="1" si="38"/>
        <v>0</v>
      </c>
      <c r="W47" s="55">
        <f t="shared" ca="1" si="38"/>
        <v>0</v>
      </c>
      <c r="X47" s="55">
        <f t="shared" ca="1" si="38"/>
        <v>0</v>
      </c>
      <c r="Y47" s="55">
        <f t="shared" ca="1" si="38"/>
        <v>0</v>
      </c>
      <c r="Z47" s="4">
        <f ca="1">Z48/SUM($Z48:$AW48)</f>
        <v>6.9274925972736656E-2</v>
      </c>
      <c r="AA47" s="4">
        <f t="shared" ref="AA47:AW47" ca="1" si="39">AA48/SUM($Z48:$AW48)</f>
        <v>2.1405398400746217E-2</v>
      </c>
      <c r="AB47" s="4">
        <f t="shared" ca="1" si="39"/>
        <v>3.8110777425185753E-2</v>
      </c>
      <c r="AC47" s="4">
        <f t="shared" ca="1" si="39"/>
        <v>1.7721130049675995E-3</v>
      </c>
      <c r="AD47" s="4">
        <f t="shared" ca="1" si="39"/>
        <v>7.1885124410655588E-2</v>
      </c>
      <c r="AE47" s="4">
        <f t="shared" ca="1" si="39"/>
        <v>6.2952722680302345E-2</v>
      </c>
      <c r="AF47" s="4">
        <f t="shared" ca="1" si="39"/>
        <v>2.2651331494375822E-2</v>
      </c>
      <c r="AG47" s="4">
        <f t="shared" ca="1" si="39"/>
        <v>3.9967700431126976E-3</v>
      </c>
      <c r="AH47" s="4">
        <f t="shared" ca="1" si="39"/>
        <v>4.7927242107231136E-2</v>
      </c>
      <c r="AI47" s="4">
        <f t="shared" ca="1" si="39"/>
        <v>6.3365553412649947E-2</v>
      </c>
      <c r="AJ47" s="4">
        <f t="shared" ca="1" si="39"/>
        <v>2.1269717952736598E-2</v>
      </c>
      <c r="AK47" s="4">
        <f t="shared" ca="1" si="39"/>
        <v>1.6196030260912306E-2</v>
      </c>
      <c r="AL47" s="4">
        <f t="shared" ca="1" si="39"/>
        <v>7.6440118924199163E-2</v>
      </c>
      <c r="AM47" s="4">
        <f t="shared" ca="1" si="39"/>
        <v>5.2234757012625699E-2</v>
      </c>
      <c r="AN47" s="4">
        <f t="shared" ca="1" si="39"/>
        <v>6.8460467856134979E-2</v>
      </c>
      <c r="AO47" s="4">
        <f t="shared" ca="1" si="39"/>
        <v>6.1517025285443498E-2</v>
      </c>
      <c r="AP47" s="4">
        <f t="shared" ca="1" si="39"/>
        <v>1.5005431243879836E-2</v>
      </c>
      <c r="AQ47" s="4">
        <f t="shared" ca="1" si="39"/>
        <v>4.4932010769921399E-2</v>
      </c>
      <c r="AR47" s="4">
        <f t="shared" ca="1" si="39"/>
        <v>4.3029628256259618E-2</v>
      </c>
      <c r="AS47" s="4">
        <f t="shared" ca="1" si="39"/>
        <v>5.3670149152963843E-2</v>
      </c>
      <c r="AT47" s="4">
        <f t="shared" ca="1" si="39"/>
        <v>1.451919644298612E-2</v>
      </c>
      <c r="AU47" s="4">
        <f t="shared" ca="1" si="39"/>
        <v>4.9611665661396902E-2</v>
      </c>
      <c r="AV47" s="4">
        <f t="shared" ca="1" si="39"/>
        <v>9.0175008779882111E-3</v>
      </c>
      <c r="AW47" s="4">
        <f t="shared" ca="1" si="39"/>
        <v>7.0754341350588182E-2</v>
      </c>
      <c r="AX47" s="50"/>
      <c r="AY47" s="65">
        <v>0</v>
      </c>
      <c r="BF47" s="50"/>
      <c r="BG47" s="50"/>
      <c r="BH47" s="50"/>
      <c r="BI47" s="50"/>
      <c r="BJ47" s="50"/>
      <c r="BK47" s="50"/>
    </row>
    <row r="48" spans="1:63" s="48" customFormat="1" x14ac:dyDescent="0.35"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64"/>
      <c r="Z48" s="4">
        <f ca="1">RAND()</f>
        <v>0.90204448881633159</v>
      </c>
      <c r="AA48" s="4">
        <f t="shared" ref="AA48:AW48" ca="1" si="40">RAND()</f>
        <v>0.27872453686792831</v>
      </c>
      <c r="AB48" s="4">
        <f t="shared" ca="1" si="40"/>
        <v>0.49624905776765582</v>
      </c>
      <c r="AC48" s="4">
        <f t="shared" ca="1" si="40"/>
        <v>2.30750844875659E-2</v>
      </c>
      <c r="AD48" s="4">
        <f t="shared" ca="1" si="40"/>
        <v>0.9360324733948846</v>
      </c>
      <c r="AE48" s="4">
        <f t="shared" ca="1" si="40"/>
        <v>0.81972164895705513</v>
      </c>
      <c r="AF48" s="4">
        <f t="shared" ca="1" si="40"/>
        <v>0.29494811364929907</v>
      </c>
      <c r="AG48" s="4">
        <f t="shared" ca="1" si="40"/>
        <v>5.2042847247139368E-2</v>
      </c>
      <c r="AH48" s="4">
        <f t="shared" ca="1" si="40"/>
        <v>0.62407146597324625</v>
      </c>
      <c r="AI48" s="4">
        <f t="shared" ca="1" si="40"/>
        <v>0.82509721135137248</v>
      </c>
      <c r="AJ48" s="4">
        <f t="shared" ca="1" si="40"/>
        <v>0.27695781104832407</v>
      </c>
      <c r="AK48" s="4">
        <f t="shared" ca="1" si="40"/>
        <v>0.21089217537826177</v>
      </c>
      <c r="AL48" s="4">
        <f t="shared" ca="1" si="40"/>
        <v>0.99534408780422567</v>
      </c>
      <c r="AM48" s="4">
        <f t="shared" ca="1" si="40"/>
        <v>0.6801605923973516</v>
      </c>
      <c r="AN48" s="4">
        <f t="shared" ca="1" si="40"/>
        <v>0.89143924535867125</v>
      </c>
      <c r="AO48" s="4">
        <f t="shared" ca="1" si="40"/>
        <v>0.80102710826349932</v>
      </c>
      <c r="AP48" s="4">
        <f t="shared" ca="1" si="40"/>
        <v>0.19538911613101051</v>
      </c>
      <c r="AQ48" s="4">
        <f t="shared" ca="1" si="40"/>
        <v>0.5850698808742808</v>
      </c>
      <c r="AR48" s="4">
        <f t="shared" ca="1" si="40"/>
        <v>0.56029852763249577</v>
      </c>
      <c r="AS48" s="4">
        <f t="shared" ca="1" si="40"/>
        <v>0.69885115830271061</v>
      </c>
      <c r="AT48" s="4">
        <f t="shared" ca="1" si="40"/>
        <v>0.18905774274795561</v>
      </c>
      <c r="AU48" s="4">
        <f t="shared" ca="1" si="40"/>
        <v>0.64600472627677397</v>
      </c>
      <c r="AV48" s="4">
        <f t="shared" ca="1" si="40"/>
        <v>0.11741891969811602</v>
      </c>
      <c r="AW48" s="4">
        <f t="shared" ca="1" si="40"/>
        <v>0.92130829126032554</v>
      </c>
      <c r="AX48" s="50"/>
      <c r="AY48" s="65"/>
      <c r="BF48" s="50"/>
      <c r="BG48" s="50"/>
      <c r="BH48" s="50"/>
      <c r="BI48" s="50"/>
      <c r="BJ48" s="50"/>
      <c r="BK48" s="50"/>
    </row>
    <row r="49" spans="1:63" s="48" customFormat="1" x14ac:dyDescent="0.35">
      <c r="B49" s="55">
        <f t="shared" ref="B49:Y49" si="41">Z49*$AY49*4545</f>
        <v>259.34395536267823</v>
      </c>
      <c r="C49" s="55">
        <f t="shared" si="41"/>
        <v>247.37423434593924</v>
      </c>
      <c r="D49" s="55">
        <f t="shared" si="41"/>
        <v>240.39189708617482</v>
      </c>
      <c r="E49" s="55">
        <f t="shared" si="41"/>
        <v>247.37423434593924</v>
      </c>
      <c r="F49" s="55">
        <f t="shared" si="41"/>
        <v>244.3818040917545</v>
      </c>
      <c r="G49" s="55">
        <f t="shared" si="41"/>
        <v>307.22283942963423</v>
      </c>
      <c r="H49" s="55">
        <f t="shared" si="41"/>
        <v>429.91247985120896</v>
      </c>
      <c r="I49" s="55">
        <f t="shared" si="41"/>
        <v>438.88977061376318</v>
      </c>
      <c r="J49" s="55">
        <f t="shared" si="41"/>
        <v>447.86706137631739</v>
      </c>
      <c r="K49" s="55">
        <f t="shared" si="41"/>
        <v>383.03107253564787</v>
      </c>
      <c r="L49" s="55">
        <f t="shared" si="41"/>
        <v>406.9705145691259</v>
      </c>
      <c r="M49" s="55">
        <f t="shared" si="41"/>
        <v>347.12190948543082</v>
      </c>
      <c r="N49" s="55">
        <f t="shared" si="41"/>
        <v>362.08406075635463</v>
      </c>
      <c r="O49" s="55">
        <f t="shared" si="41"/>
        <v>366.07396776193428</v>
      </c>
      <c r="P49" s="55">
        <f t="shared" si="41"/>
        <v>369.06639801611902</v>
      </c>
      <c r="Q49" s="55">
        <f t="shared" si="41"/>
        <v>367.07144451332914</v>
      </c>
      <c r="R49" s="55">
        <f t="shared" si="41"/>
        <v>340.13957222566648</v>
      </c>
      <c r="S49" s="55">
        <f t="shared" si="41"/>
        <v>365.07649101053937</v>
      </c>
      <c r="T49" s="55">
        <f t="shared" si="41"/>
        <v>379.04116553006827</v>
      </c>
      <c r="U49" s="55">
        <f t="shared" si="41"/>
        <v>335.15218846869186</v>
      </c>
      <c r="V49" s="55">
        <f t="shared" si="41"/>
        <v>346.12443273403596</v>
      </c>
      <c r="W49" s="55">
        <f t="shared" si="41"/>
        <v>294.25564166150031</v>
      </c>
      <c r="X49" s="55">
        <f t="shared" si="41"/>
        <v>263.33386236825788</v>
      </c>
      <c r="Y49" s="55">
        <f t="shared" si="41"/>
        <v>257.3490018598884</v>
      </c>
      <c r="Z49" s="4">
        <f>SUM(Z50:Z52)/SUM($Z50:$AW52)</f>
        <v>3.2238065716057036E-2</v>
      </c>
      <c r="AA49" s="4">
        <f t="shared" ref="AA49:AW49" si="42">SUM(AA50:AA52)/SUM($Z50:$AW52)</f>
        <v>3.0750154990700558E-2</v>
      </c>
      <c r="AB49" s="4">
        <f t="shared" si="42"/>
        <v>2.9882207067575946E-2</v>
      </c>
      <c r="AC49" s="4">
        <f t="shared" si="42"/>
        <v>3.0750154990700558E-2</v>
      </c>
      <c r="AD49" s="4">
        <f t="shared" si="42"/>
        <v>3.0378177309361439E-2</v>
      </c>
      <c r="AE49" s="4">
        <f t="shared" si="42"/>
        <v>3.8189708617482949E-2</v>
      </c>
      <c r="AF49" s="4">
        <f t="shared" si="42"/>
        <v>5.3440793552386859E-2</v>
      </c>
      <c r="AG49" s="4">
        <f t="shared" si="42"/>
        <v>5.4556726596404218E-2</v>
      </c>
      <c r="AH49" s="4">
        <f t="shared" si="42"/>
        <v>5.5672659640421576E-2</v>
      </c>
      <c r="AI49" s="4">
        <f t="shared" si="42"/>
        <v>4.7613143211407319E-2</v>
      </c>
      <c r="AJ49" s="4">
        <f t="shared" si="42"/>
        <v>5.0588964662120275E-2</v>
      </c>
      <c r="AK49" s="4">
        <f t="shared" si="42"/>
        <v>4.3149411035337877E-2</v>
      </c>
      <c r="AL49" s="4">
        <f t="shared" si="42"/>
        <v>4.5009299442033475E-2</v>
      </c>
      <c r="AM49" s="4">
        <f t="shared" si="42"/>
        <v>4.5505269683818968E-2</v>
      </c>
      <c r="AN49" s="4">
        <f t="shared" si="42"/>
        <v>4.5877247365158087E-2</v>
      </c>
      <c r="AO49" s="4">
        <f t="shared" si="42"/>
        <v>4.5629262244265341E-2</v>
      </c>
      <c r="AP49" s="4">
        <f t="shared" si="42"/>
        <v>4.2281463112213265E-2</v>
      </c>
      <c r="AQ49" s="4">
        <f t="shared" si="42"/>
        <v>4.5381277123372595E-2</v>
      </c>
      <c r="AR49" s="4">
        <f t="shared" si="42"/>
        <v>4.7117172969621826E-2</v>
      </c>
      <c r="AS49" s="4">
        <f t="shared" si="42"/>
        <v>4.1661500309981399E-2</v>
      </c>
      <c r="AT49" s="4">
        <f t="shared" si="42"/>
        <v>4.3025418474891504E-2</v>
      </c>
      <c r="AU49" s="4">
        <f t="shared" si="42"/>
        <v>3.6577805331680098E-2</v>
      </c>
      <c r="AV49" s="4">
        <f t="shared" si="42"/>
        <v>3.2734035957842529E-2</v>
      </c>
      <c r="AW49" s="4">
        <f t="shared" si="42"/>
        <v>3.199008059516429E-2</v>
      </c>
      <c r="AX49" s="50"/>
      <c r="AY49" s="56">
        <v>1.77</v>
      </c>
      <c r="BF49" s="50"/>
      <c r="BG49" s="50"/>
      <c r="BH49" s="50"/>
      <c r="BI49" s="50"/>
      <c r="BJ49" s="50"/>
      <c r="BK49" s="50"/>
    </row>
    <row r="50" spans="1:63" s="48" customFormat="1" x14ac:dyDescent="0.35">
      <c r="A50" s="20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64"/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0"/>
      <c r="BF50" s="50"/>
      <c r="BG50" s="50"/>
      <c r="BH50" s="50"/>
      <c r="BI50" s="50"/>
      <c r="BJ50" s="50"/>
      <c r="BK50" s="50"/>
    </row>
    <row r="51" spans="1:63" s="48" customFormat="1" x14ac:dyDescent="0.35">
      <c r="A51" s="20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61"/>
      <c r="Z51" s="5">
        <v>75</v>
      </c>
      <c r="AA51" s="5">
        <v>73</v>
      </c>
      <c r="AB51" s="5">
        <v>71</v>
      </c>
      <c r="AC51" s="5">
        <v>71</v>
      </c>
      <c r="AD51" s="5">
        <v>70</v>
      </c>
      <c r="AE51" s="5">
        <v>81</v>
      </c>
      <c r="AF51" s="5">
        <v>121</v>
      </c>
      <c r="AG51" s="5">
        <v>121</v>
      </c>
      <c r="AH51" s="5">
        <v>124</v>
      </c>
      <c r="AI51" s="5">
        <v>121</v>
      </c>
      <c r="AJ51" s="5">
        <v>121</v>
      </c>
      <c r="AK51" s="5">
        <v>118</v>
      </c>
      <c r="AL51" s="5">
        <v>119</v>
      </c>
      <c r="AM51" s="5">
        <v>116</v>
      </c>
      <c r="AN51" s="5">
        <v>119</v>
      </c>
      <c r="AO51" s="5">
        <v>120</v>
      </c>
      <c r="AP51" s="5">
        <v>120</v>
      </c>
      <c r="AQ51" s="5">
        <v>122</v>
      </c>
      <c r="AR51" s="5">
        <v>123</v>
      </c>
      <c r="AS51" s="5">
        <v>121</v>
      </c>
      <c r="AT51" s="5">
        <v>119</v>
      </c>
      <c r="AU51" s="5">
        <v>103</v>
      </c>
      <c r="AV51" s="5">
        <v>76</v>
      </c>
      <c r="AW51" s="5">
        <v>75</v>
      </c>
      <c r="AX51" s="50"/>
      <c r="AY51" s="65"/>
      <c r="BF51" s="50"/>
    </row>
    <row r="52" spans="1:63" s="48" customFormat="1" x14ac:dyDescent="0.35">
      <c r="A52" s="20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61"/>
      <c r="Z52" s="5">
        <v>185</v>
      </c>
      <c r="AA52" s="5">
        <v>175</v>
      </c>
      <c r="AB52" s="5">
        <v>170</v>
      </c>
      <c r="AC52" s="5">
        <v>177</v>
      </c>
      <c r="AD52" s="5">
        <v>175</v>
      </c>
      <c r="AE52" s="5">
        <v>227</v>
      </c>
      <c r="AF52" s="5">
        <v>310</v>
      </c>
      <c r="AG52" s="5">
        <v>319</v>
      </c>
      <c r="AH52" s="5">
        <v>325</v>
      </c>
      <c r="AI52" s="5">
        <v>263</v>
      </c>
      <c r="AJ52" s="5">
        <v>287</v>
      </c>
      <c r="AK52" s="5">
        <v>230</v>
      </c>
      <c r="AL52" s="5">
        <v>244</v>
      </c>
      <c r="AM52" s="5">
        <v>251</v>
      </c>
      <c r="AN52" s="5">
        <v>251</v>
      </c>
      <c r="AO52" s="5">
        <v>248</v>
      </c>
      <c r="AP52" s="5">
        <v>221</v>
      </c>
      <c r="AQ52" s="5">
        <v>244</v>
      </c>
      <c r="AR52" s="5">
        <v>257</v>
      </c>
      <c r="AS52" s="5">
        <v>215</v>
      </c>
      <c r="AT52" s="5">
        <v>228</v>
      </c>
      <c r="AU52" s="5">
        <v>192</v>
      </c>
      <c r="AV52" s="5">
        <v>188</v>
      </c>
      <c r="AW52" s="5">
        <v>183</v>
      </c>
      <c r="AX52" s="50"/>
      <c r="AY52" s="65"/>
      <c r="BF52" s="50"/>
    </row>
    <row r="53" spans="1:63" s="48" customFormat="1" x14ac:dyDescent="0.35">
      <c r="A53" s="20"/>
      <c r="B53" s="5">
        <f>Z53*$AY53*4545</f>
        <v>690.03270179234539</v>
      </c>
      <c r="C53" s="5">
        <f t="shared" ref="C53:Y53" si="43">AA53*$AY53*4545</f>
        <v>602.98897752118069</v>
      </c>
      <c r="D53" s="5">
        <f t="shared" si="43"/>
        <v>491.2464090041388</v>
      </c>
      <c r="E53" s="5">
        <f t="shared" si="43"/>
        <v>531.23949874924301</v>
      </c>
      <c r="F53" s="5">
        <f t="shared" si="43"/>
        <v>735.75965892716192</v>
      </c>
      <c r="G53" s="5">
        <f t="shared" si="43"/>
        <v>819.9674690886211</v>
      </c>
      <c r="H53" s="5">
        <f t="shared" si="43"/>
        <v>927.50893522737715</v>
      </c>
      <c r="I53" s="5">
        <f t="shared" si="43"/>
        <v>1038.4518940812482</v>
      </c>
      <c r="J53" s="5">
        <f t="shared" si="43"/>
        <v>1063.6427501177743</v>
      </c>
      <c r="K53" s="5">
        <f t="shared" si="43"/>
        <v>1056.887309122634</v>
      </c>
      <c r="L53" s="5">
        <f t="shared" si="43"/>
        <v>1053.7332632584009</v>
      </c>
      <c r="M53" s="5">
        <f t="shared" si="43"/>
        <v>1047.8599142100588</v>
      </c>
      <c r="N53" s="5">
        <f t="shared" si="43"/>
        <v>1041.8216005944623</v>
      </c>
      <c r="O53" s="5">
        <f t="shared" si="43"/>
        <v>1016.5482622743086</v>
      </c>
      <c r="P53" s="5">
        <f t="shared" si="43"/>
        <v>989.35496069769385</v>
      </c>
      <c r="Q53" s="5">
        <f t="shared" si="43"/>
        <v>1006.9970693691841</v>
      </c>
      <c r="R53" s="5">
        <f t="shared" si="43"/>
        <v>1031.6454872688576</v>
      </c>
      <c r="S53" s="5">
        <f t="shared" si="43"/>
        <v>1013.2226788140227</v>
      </c>
      <c r="T53" s="5">
        <f t="shared" si="43"/>
        <v>981.0318168425888</v>
      </c>
      <c r="U53" s="5">
        <f t="shared" si="43"/>
        <v>949.43751047189528</v>
      </c>
      <c r="V53" s="5">
        <f t="shared" si="43"/>
        <v>892.10387637007022</v>
      </c>
      <c r="W53" s="5">
        <f t="shared" si="43"/>
        <v>841.62023266251776</v>
      </c>
      <c r="X53" s="5">
        <f t="shared" si="43"/>
        <v>807.9541445257056</v>
      </c>
      <c r="Y53" s="5">
        <f t="shared" si="43"/>
        <v>775.8935790085111</v>
      </c>
      <c r="Z53" s="4">
        <f>SUM(Z54:Z57)/SUM($Z54:$AW57)</f>
        <v>3.223405024033528E-2</v>
      </c>
      <c r="AA53" s="4">
        <f t="shared" ref="AA53:AW53" si="44">SUM(AA54:AA57)/SUM($Z54:$AW57)</f>
        <v>2.8167907035854277E-2</v>
      </c>
      <c r="AB53" s="4">
        <f t="shared" si="44"/>
        <v>2.2947986939014609E-2</v>
      </c>
      <c r="AC53" s="4">
        <f t="shared" si="44"/>
        <v>2.4816216170413956E-2</v>
      </c>
      <c r="AD53" s="4">
        <f t="shared" si="44"/>
        <v>3.4370130211317441E-2</v>
      </c>
      <c r="AE53" s="4">
        <f t="shared" si="44"/>
        <v>3.8303797088731516E-2</v>
      </c>
      <c r="AF53" s="4">
        <f t="shared" si="44"/>
        <v>4.3327467725546007E-2</v>
      </c>
      <c r="AG53" s="4">
        <f t="shared" si="44"/>
        <v>4.8510035015789175E-2</v>
      </c>
      <c r="AH53" s="4">
        <f t="shared" si="44"/>
        <v>4.9686795648972618E-2</v>
      </c>
      <c r="AI53" s="4">
        <f t="shared" si="44"/>
        <v>4.937122332338955E-2</v>
      </c>
      <c r="AJ53" s="4">
        <f t="shared" si="44"/>
        <v>4.9223885852884265E-2</v>
      </c>
      <c r="AK53" s="4">
        <f t="shared" si="44"/>
        <v>4.8949519394872174E-2</v>
      </c>
      <c r="AL53" s="4">
        <f t="shared" si="44"/>
        <v>4.8667446814911156E-2</v>
      </c>
      <c r="AM53" s="4">
        <f t="shared" si="44"/>
        <v>4.748683312075324E-2</v>
      </c>
      <c r="AN53" s="4">
        <f t="shared" si="44"/>
        <v>4.6216530645313503E-2</v>
      </c>
      <c r="AO53" s="4">
        <f t="shared" si="44"/>
        <v>4.7040660597104406E-2</v>
      </c>
      <c r="AP53" s="4">
        <f t="shared" si="44"/>
        <v>4.8192081883166808E-2</v>
      </c>
      <c r="AQ53" s="4">
        <f t="shared" si="44"/>
        <v>4.7331482477140495E-2</v>
      </c>
      <c r="AR53" s="4">
        <f t="shared" si="44"/>
        <v>4.5827724960472591E-2</v>
      </c>
      <c r="AS53" s="4">
        <f t="shared" si="44"/>
        <v>4.4351834823358548E-2</v>
      </c>
      <c r="AT53" s="4">
        <f t="shared" si="44"/>
        <v>4.1673562855524503E-2</v>
      </c>
      <c r="AU53" s="4">
        <f t="shared" si="44"/>
        <v>3.9315279975079019E-2</v>
      </c>
      <c r="AV53" s="4">
        <f t="shared" si="44"/>
        <v>3.7742609037051317E-2</v>
      </c>
      <c r="AW53" s="4">
        <f t="shared" si="44"/>
        <v>3.6244938163003657E-2</v>
      </c>
      <c r="AX53" s="50"/>
      <c r="AY53" s="56">
        <v>4.71</v>
      </c>
      <c r="BF53" s="50"/>
    </row>
    <row r="54" spans="1:63" s="48" customFormat="1" x14ac:dyDescent="0.35">
      <c r="A54" s="20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61"/>
      <c r="Z54" s="5">
        <v>267.59999999999997</v>
      </c>
      <c r="AA54" s="5">
        <v>255.6</v>
      </c>
      <c r="AB54" s="5">
        <v>254.39999999999998</v>
      </c>
      <c r="AC54" s="5">
        <v>258</v>
      </c>
      <c r="AD54" s="5">
        <v>247.2</v>
      </c>
      <c r="AE54" s="5">
        <v>259.2</v>
      </c>
      <c r="AF54" s="5">
        <v>316.8</v>
      </c>
      <c r="AG54" s="5">
        <v>391.2</v>
      </c>
      <c r="AH54" s="5">
        <v>418.8</v>
      </c>
      <c r="AI54" s="5">
        <v>414</v>
      </c>
      <c r="AJ54" s="5">
        <v>403.2</v>
      </c>
      <c r="AK54" s="5">
        <v>385.2</v>
      </c>
      <c r="AL54" s="5">
        <v>379.2</v>
      </c>
      <c r="AM54" s="5">
        <v>369.59999999999997</v>
      </c>
      <c r="AN54" s="5">
        <v>364.8</v>
      </c>
      <c r="AO54" s="5">
        <v>375.59999999999997</v>
      </c>
      <c r="AP54" s="5">
        <v>392.4</v>
      </c>
      <c r="AQ54" s="5">
        <v>379.2</v>
      </c>
      <c r="AR54" s="5">
        <v>380.4</v>
      </c>
      <c r="AS54" s="5">
        <v>370.8</v>
      </c>
      <c r="AT54" s="5">
        <v>334.8</v>
      </c>
      <c r="AU54" s="5">
        <v>285.59999999999997</v>
      </c>
      <c r="AV54" s="5">
        <v>246</v>
      </c>
      <c r="AW54" s="5">
        <v>244.79999999999998</v>
      </c>
      <c r="AX54" s="50"/>
      <c r="BF54" s="50"/>
    </row>
    <row r="55" spans="1:63" s="48" customFormat="1" x14ac:dyDescent="0.35">
      <c r="A55" s="20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61"/>
      <c r="Z55" s="53">
        <v>144.76954761735672</v>
      </c>
      <c r="AA55" s="53">
        <v>88.683332149705279</v>
      </c>
      <c r="AB55" s="53">
        <v>56.086215467651449</v>
      </c>
      <c r="AC55" s="53">
        <v>46.498828208223848</v>
      </c>
      <c r="AD55" s="53">
        <v>152.91882678787022</v>
      </c>
      <c r="AE55" s="53">
        <v>298.16774376819831</v>
      </c>
      <c r="AF55" s="53">
        <v>333.16170726510904</v>
      </c>
      <c r="AG55" s="53">
        <v>365.75882394716291</v>
      </c>
      <c r="AH55" s="53">
        <v>363.36197713230598</v>
      </c>
      <c r="AI55" s="53">
        <v>362.40323840636324</v>
      </c>
      <c r="AJ55" s="53">
        <v>359.04765286556352</v>
      </c>
      <c r="AK55" s="53">
        <v>356.17143668773525</v>
      </c>
      <c r="AL55" s="53">
        <v>357.13017541367805</v>
      </c>
      <c r="AM55" s="53">
        <v>361.44449968042045</v>
      </c>
      <c r="AN55" s="53">
        <v>336.03792344293731</v>
      </c>
      <c r="AO55" s="53">
        <v>327.88864427242385</v>
      </c>
      <c r="AP55" s="53">
        <v>342.74909452453659</v>
      </c>
      <c r="AQ55" s="53">
        <v>336.51729280590871</v>
      </c>
      <c r="AR55" s="53">
        <v>311.11071656842557</v>
      </c>
      <c r="AS55" s="53">
        <v>288.10098714579931</v>
      </c>
      <c r="AT55" s="53">
        <v>319.73936510191044</v>
      </c>
      <c r="AU55" s="53">
        <v>280.4310773382573</v>
      </c>
      <c r="AV55" s="53">
        <v>282.34855479014271</v>
      </c>
      <c r="AW55" s="53">
        <v>279.4723386123145</v>
      </c>
      <c r="AX55" s="50"/>
      <c r="AY55" s="65"/>
      <c r="BF55" s="50"/>
    </row>
    <row r="56" spans="1:63" s="48" customFormat="1" x14ac:dyDescent="0.35">
      <c r="A56" s="20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61"/>
      <c r="Z56" s="48">
        <v>226</v>
      </c>
      <c r="AA56" s="48">
        <v>209</v>
      </c>
      <c r="AB56" s="48">
        <v>132</v>
      </c>
      <c r="AC56" s="48">
        <v>179</v>
      </c>
      <c r="AD56" s="48">
        <v>301</v>
      </c>
      <c r="AE56" s="48">
        <v>258</v>
      </c>
      <c r="AF56" s="48">
        <v>278</v>
      </c>
      <c r="AG56" s="48">
        <v>282</v>
      </c>
      <c r="AH56" s="48">
        <v>282</v>
      </c>
      <c r="AI56" s="48">
        <v>281</v>
      </c>
      <c r="AJ56" s="48">
        <v>280</v>
      </c>
      <c r="AK56" s="48">
        <v>280</v>
      </c>
      <c r="AL56" s="48">
        <v>279</v>
      </c>
      <c r="AM56" s="48">
        <v>259</v>
      </c>
      <c r="AN56" s="48">
        <v>260</v>
      </c>
      <c r="AO56" s="48">
        <v>274</v>
      </c>
      <c r="AP56" s="48">
        <v>268</v>
      </c>
      <c r="AQ56" s="48">
        <v>274</v>
      </c>
      <c r="AR56" s="48">
        <v>261</v>
      </c>
      <c r="AS56" s="48">
        <v>259</v>
      </c>
      <c r="AT56" s="48">
        <v>206</v>
      </c>
      <c r="AU56" s="48">
        <v>241</v>
      </c>
      <c r="AV56" s="48">
        <v>245</v>
      </c>
      <c r="AW56" s="48">
        <v>214</v>
      </c>
      <c r="AX56" s="50"/>
      <c r="AY56" s="65"/>
      <c r="BF56" s="50"/>
    </row>
    <row r="57" spans="1:63" s="48" customFormat="1" x14ac:dyDescent="0.35">
      <c r="A57" s="20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61"/>
      <c r="Z57" s="48">
        <v>52</v>
      </c>
      <c r="AA57" s="48">
        <v>50</v>
      </c>
      <c r="AB57" s="48">
        <v>49</v>
      </c>
      <c r="AC57" s="48">
        <v>48</v>
      </c>
      <c r="AD57" s="48">
        <v>35</v>
      </c>
      <c r="AE57" s="48">
        <v>5</v>
      </c>
      <c r="AF57" s="48">
        <v>0</v>
      </c>
      <c r="AG57" s="48">
        <v>0</v>
      </c>
      <c r="AH57" s="48">
        <v>0</v>
      </c>
      <c r="AI57" s="48">
        <v>0</v>
      </c>
      <c r="AJ57" s="48">
        <v>12</v>
      </c>
      <c r="AK57" s="48">
        <v>27</v>
      </c>
      <c r="AL57" s="48">
        <v>27</v>
      </c>
      <c r="AM57" s="48">
        <v>27</v>
      </c>
      <c r="AN57" s="48">
        <v>29</v>
      </c>
      <c r="AO57" s="48">
        <v>30</v>
      </c>
      <c r="AP57" s="48">
        <v>29</v>
      </c>
      <c r="AQ57" s="48">
        <v>24</v>
      </c>
      <c r="AR57" s="48">
        <v>29</v>
      </c>
      <c r="AS57" s="48">
        <v>32</v>
      </c>
      <c r="AT57" s="48">
        <v>32</v>
      </c>
      <c r="AU57" s="48">
        <v>35</v>
      </c>
      <c r="AV57" s="48">
        <v>35</v>
      </c>
      <c r="AW57" s="48">
        <v>38</v>
      </c>
      <c r="AX57" s="50"/>
      <c r="AY57" s="65"/>
      <c r="BF57" s="50"/>
    </row>
    <row r="58" spans="1:63" s="48" customFormat="1" x14ac:dyDescent="0.35">
      <c r="A58" s="15"/>
      <c r="B58" s="5">
        <f t="shared" ref="B58:Y58" si="45">Z58*$AY58*4545</f>
        <v>302.18230239329591</v>
      </c>
      <c r="C58" s="5">
        <f t="shared" si="45"/>
        <v>185.1116753071515</v>
      </c>
      <c r="D58" s="5">
        <f t="shared" si="45"/>
        <v>117.07062708614444</v>
      </c>
      <c r="E58" s="5">
        <f t="shared" si="45"/>
        <v>97.058554079965916</v>
      </c>
      <c r="F58" s="5">
        <f t="shared" si="45"/>
        <v>319.19256444854773</v>
      </c>
      <c r="G58" s="5">
        <f t="shared" si="45"/>
        <v>622.37547049215254</v>
      </c>
      <c r="H58" s="5">
        <f t="shared" si="45"/>
        <v>695.41953696470421</v>
      </c>
      <c r="I58" s="5">
        <f t="shared" si="45"/>
        <v>763.46058518571124</v>
      </c>
      <c r="J58" s="5">
        <f t="shared" si="45"/>
        <v>758.45756693416661</v>
      </c>
      <c r="K58" s="5">
        <f t="shared" si="45"/>
        <v>756.45635963354891</v>
      </c>
      <c r="L58" s="5">
        <f t="shared" si="45"/>
        <v>749.45213408138625</v>
      </c>
      <c r="M58" s="5">
        <f t="shared" si="45"/>
        <v>743.44851217953271</v>
      </c>
      <c r="N58" s="5">
        <f t="shared" si="45"/>
        <v>745.44971948015052</v>
      </c>
      <c r="O58" s="5">
        <f t="shared" si="45"/>
        <v>754.45515233293088</v>
      </c>
      <c r="P58" s="5">
        <f t="shared" si="45"/>
        <v>701.42315886655774</v>
      </c>
      <c r="Q58" s="5">
        <f t="shared" si="45"/>
        <v>684.41289681130604</v>
      </c>
      <c r="R58" s="5">
        <f t="shared" si="45"/>
        <v>715.43160997088273</v>
      </c>
      <c r="S58" s="5">
        <f t="shared" si="45"/>
        <v>702.42376251686676</v>
      </c>
      <c r="T58" s="5">
        <f t="shared" si="45"/>
        <v>649.39176905049362</v>
      </c>
      <c r="U58" s="5">
        <f t="shared" si="45"/>
        <v>601.36279383566512</v>
      </c>
      <c r="V58" s="5">
        <f t="shared" si="45"/>
        <v>667.40263475605434</v>
      </c>
      <c r="W58" s="5">
        <f t="shared" si="45"/>
        <v>585.3531354307222</v>
      </c>
      <c r="X58" s="5">
        <f t="shared" si="45"/>
        <v>589.35555003195793</v>
      </c>
      <c r="Y58" s="5">
        <f t="shared" si="45"/>
        <v>583.3519281301044</v>
      </c>
      <c r="Z58" s="4">
        <f t="shared" ref="Z58:AW58" si="46">SUM(Z59)/SUM($Z59:$AW59)</f>
        <v>2.1447340387756551E-2</v>
      </c>
      <c r="AA58" s="4">
        <f t="shared" si="46"/>
        <v>1.3138271429585967E-2</v>
      </c>
      <c r="AB58" s="4">
        <f t="shared" si="46"/>
        <v>8.3090689581705839E-3</v>
      </c>
      <c r="AC58" s="4">
        <f t="shared" si="46"/>
        <v>6.888715290107237E-3</v>
      </c>
      <c r="AD58" s="4">
        <f t="shared" si="46"/>
        <v>2.2654641005610397E-2</v>
      </c>
      <c r="AE58" s="4">
        <f t="shared" si="46"/>
        <v>4.4172999076770116E-2</v>
      </c>
      <c r="AF58" s="4">
        <f t="shared" si="46"/>
        <v>4.9357289965201334E-2</v>
      </c>
      <c r="AG58" s="4">
        <f t="shared" si="46"/>
        <v>5.4186492436616718E-2</v>
      </c>
      <c r="AH58" s="4">
        <f t="shared" si="46"/>
        <v>5.3831404019600883E-2</v>
      </c>
      <c r="AI58" s="4">
        <f t="shared" si="46"/>
        <v>5.3689368652794549E-2</v>
      </c>
      <c r="AJ58" s="4">
        <f t="shared" si="46"/>
        <v>5.3192244868972373E-2</v>
      </c>
      <c r="AK58" s="4">
        <f t="shared" si="46"/>
        <v>5.2766138768553371E-2</v>
      </c>
      <c r="AL58" s="4">
        <f t="shared" si="46"/>
        <v>5.2908174135359705E-2</v>
      </c>
      <c r="AM58" s="4">
        <f t="shared" si="46"/>
        <v>5.3547333285988208E-2</v>
      </c>
      <c r="AN58" s="4">
        <f t="shared" si="46"/>
        <v>4.9783396065620336E-2</v>
      </c>
      <c r="AO58" s="4">
        <f t="shared" si="46"/>
        <v>4.8576095447766497E-2</v>
      </c>
      <c r="AP58" s="4">
        <f t="shared" si="46"/>
        <v>5.0777643633264681E-2</v>
      </c>
      <c r="AQ58" s="4">
        <f t="shared" si="46"/>
        <v>4.985441374902351E-2</v>
      </c>
      <c r="AR58" s="4">
        <f t="shared" si="46"/>
        <v>4.6090476528655638E-2</v>
      </c>
      <c r="AS58" s="4">
        <f t="shared" si="46"/>
        <v>4.2681627725303602E-2</v>
      </c>
      <c r="AT58" s="4">
        <f t="shared" si="46"/>
        <v>4.7368794829912651E-2</v>
      </c>
      <c r="AU58" s="4">
        <f t="shared" si="46"/>
        <v>4.1545344790852923E-2</v>
      </c>
      <c r="AV58" s="4">
        <f t="shared" si="46"/>
        <v>4.1829415524465591E-2</v>
      </c>
      <c r="AW58" s="4">
        <f t="shared" si="46"/>
        <v>4.1403309424046589E-2</v>
      </c>
      <c r="AX58" s="50"/>
      <c r="AY58" s="56">
        <v>3.1</v>
      </c>
      <c r="BF58" s="50"/>
    </row>
    <row r="59" spans="1:63" s="48" customFormat="1" x14ac:dyDescent="0.3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61"/>
      <c r="Z59" s="5">
        <v>302</v>
      </c>
      <c r="AA59" s="5">
        <v>185</v>
      </c>
      <c r="AB59" s="5">
        <v>117</v>
      </c>
      <c r="AC59" s="5">
        <v>97</v>
      </c>
      <c r="AD59" s="5">
        <v>319</v>
      </c>
      <c r="AE59" s="5">
        <v>622</v>
      </c>
      <c r="AF59" s="5">
        <v>695</v>
      </c>
      <c r="AG59" s="5">
        <v>763</v>
      </c>
      <c r="AH59" s="5">
        <v>758</v>
      </c>
      <c r="AI59" s="5">
        <v>756</v>
      </c>
      <c r="AJ59" s="5">
        <v>749</v>
      </c>
      <c r="AK59" s="5">
        <v>743</v>
      </c>
      <c r="AL59" s="5">
        <v>745</v>
      </c>
      <c r="AM59" s="5">
        <v>754</v>
      </c>
      <c r="AN59" s="5">
        <v>701</v>
      </c>
      <c r="AO59" s="5">
        <v>684</v>
      </c>
      <c r="AP59" s="5">
        <v>715</v>
      </c>
      <c r="AQ59" s="5">
        <v>702</v>
      </c>
      <c r="AR59" s="5">
        <v>649</v>
      </c>
      <c r="AS59" s="5">
        <v>601</v>
      </c>
      <c r="AT59" s="5">
        <v>667</v>
      </c>
      <c r="AU59" s="5">
        <v>585</v>
      </c>
      <c r="AV59" s="5">
        <v>589</v>
      </c>
      <c r="AW59" s="5">
        <v>583</v>
      </c>
      <c r="AX59" s="50"/>
      <c r="AY59" s="65"/>
      <c r="BF59" s="50"/>
    </row>
    <row r="60" spans="1:63" s="48" customFormat="1" x14ac:dyDescent="0.35">
      <c r="A60" s="15"/>
      <c r="B60" s="5">
        <f>Z60*$AY60*4545</f>
        <v>12.063364485981309</v>
      </c>
      <c r="C60" s="5">
        <f t="shared" ref="C60:Y60" si="47">AA60*$AY60*4545</f>
        <v>0</v>
      </c>
      <c r="D60" s="5">
        <f t="shared" si="47"/>
        <v>0</v>
      </c>
      <c r="E60" s="5">
        <f t="shared" si="47"/>
        <v>0</v>
      </c>
      <c r="F60" s="5">
        <f t="shared" si="47"/>
        <v>0</v>
      </c>
      <c r="G60" s="5">
        <f t="shared" si="47"/>
        <v>110.58084112149531</v>
      </c>
      <c r="H60" s="5">
        <f t="shared" si="47"/>
        <v>277.45738317757008</v>
      </c>
      <c r="I60" s="5">
        <f t="shared" si="47"/>
        <v>280.47322429906541</v>
      </c>
      <c r="J60" s="5">
        <f t="shared" si="47"/>
        <v>281.4785046728972</v>
      </c>
      <c r="K60" s="5">
        <f t="shared" si="47"/>
        <v>172.90822429906541</v>
      </c>
      <c r="L60" s="5">
        <f t="shared" si="47"/>
        <v>278.46266355140182</v>
      </c>
      <c r="M60" s="5">
        <f t="shared" si="47"/>
        <v>194.01911214953267</v>
      </c>
      <c r="N60" s="5">
        <f t="shared" si="47"/>
        <v>127.67060747663551</v>
      </c>
      <c r="O60" s="5">
        <f t="shared" si="47"/>
        <v>200.05079439252336</v>
      </c>
      <c r="P60" s="5">
        <f t="shared" si="47"/>
        <v>251.3200934579439</v>
      </c>
      <c r="Q60" s="5">
        <f t="shared" si="47"/>
        <v>157.8290186915888</v>
      </c>
      <c r="R60" s="5">
        <f t="shared" si="47"/>
        <v>138.72869158878504</v>
      </c>
      <c r="S60" s="5">
        <f t="shared" si="47"/>
        <v>148.78149532710282</v>
      </c>
      <c r="T60" s="5">
        <f t="shared" si="47"/>
        <v>241.26728971962612</v>
      </c>
      <c r="U60" s="5">
        <f t="shared" si="47"/>
        <v>127.67060747663551</v>
      </c>
      <c r="V60" s="5">
        <f t="shared" si="47"/>
        <v>124.6547663551402</v>
      </c>
      <c r="W60" s="5">
        <f t="shared" si="47"/>
        <v>79.417149532710283</v>
      </c>
      <c r="X60" s="5">
        <f t="shared" si="47"/>
        <v>14.073925233644859</v>
      </c>
      <c r="Y60" s="5">
        <f t="shared" si="47"/>
        <v>8.0422429906542057</v>
      </c>
      <c r="Z60" s="4">
        <f>SUM(Z61)/SUM($Z61:$AW61)</f>
        <v>3.7383177570093459E-3</v>
      </c>
      <c r="AA60" s="4">
        <f t="shared" ref="AA60:AW60" si="48">SUM(AA61)/SUM($Z61:$AW61)</f>
        <v>0</v>
      </c>
      <c r="AB60" s="4">
        <f t="shared" si="48"/>
        <v>0</v>
      </c>
      <c r="AC60" s="4">
        <f t="shared" si="48"/>
        <v>0</v>
      </c>
      <c r="AD60" s="4">
        <f t="shared" si="48"/>
        <v>0</v>
      </c>
      <c r="AE60" s="4">
        <f t="shared" si="48"/>
        <v>3.4267912772585667E-2</v>
      </c>
      <c r="AF60" s="4">
        <f t="shared" si="48"/>
        <v>8.5981308411214957E-2</v>
      </c>
      <c r="AG60" s="4">
        <f t="shared" si="48"/>
        <v>8.6915887850467291E-2</v>
      </c>
      <c r="AH60" s="4">
        <f t="shared" si="48"/>
        <v>8.7227414330218064E-2</v>
      </c>
      <c r="AI60" s="4">
        <f t="shared" si="48"/>
        <v>5.3582554517133958E-2</v>
      </c>
      <c r="AJ60" s="4">
        <f t="shared" si="48"/>
        <v>8.6292834890965731E-2</v>
      </c>
      <c r="AK60" s="4">
        <f t="shared" si="48"/>
        <v>6.0124610591900308E-2</v>
      </c>
      <c r="AL60" s="4">
        <f t="shared" si="48"/>
        <v>3.956386292834891E-2</v>
      </c>
      <c r="AM60" s="4">
        <f t="shared" si="48"/>
        <v>6.1993769470404983E-2</v>
      </c>
      <c r="AN60" s="4">
        <f t="shared" si="48"/>
        <v>7.7881619937694699E-2</v>
      </c>
      <c r="AO60" s="4">
        <f t="shared" si="48"/>
        <v>4.8909657320872275E-2</v>
      </c>
      <c r="AP60" s="4">
        <f t="shared" si="48"/>
        <v>4.2990654205607479E-2</v>
      </c>
      <c r="AQ60" s="4">
        <f t="shared" si="48"/>
        <v>4.6105919003115267E-2</v>
      </c>
      <c r="AR60" s="4">
        <f t="shared" si="48"/>
        <v>7.476635514018691E-2</v>
      </c>
      <c r="AS60" s="4">
        <f t="shared" si="48"/>
        <v>3.956386292834891E-2</v>
      </c>
      <c r="AT60" s="4">
        <f t="shared" si="48"/>
        <v>3.8629283489096576E-2</v>
      </c>
      <c r="AU60" s="4">
        <f t="shared" si="48"/>
        <v>2.4610591900311528E-2</v>
      </c>
      <c r="AV60" s="4">
        <f t="shared" si="48"/>
        <v>4.3613707165109034E-3</v>
      </c>
      <c r="AW60" s="4">
        <f t="shared" si="48"/>
        <v>2.4922118380062306E-3</v>
      </c>
      <c r="AX60" s="50"/>
      <c r="AY60" s="56">
        <v>0.71</v>
      </c>
      <c r="BF60" s="50"/>
    </row>
    <row r="61" spans="1:63" s="48" customFormat="1" x14ac:dyDescent="0.3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1"/>
      <c r="Z61" s="5">
        <v>12</v>
      </c>
      <c r="AA61" s="5">
        <v>0</v>
      </c>
      <c r="AB61" s="5">
        <v>0</v>
      </c>
      <c r="AC61" s="5">
        <v>0</v>
      </c>
      <c r="AD61" s="5">
        <v>0</v>
      </c>
      <c r="AE61" s="5">
        <v>110</v>
      </c>
      <c r="AF61" s="5">
        <v>276</v>
      </c>
      <c r="AG61" s="5">
        <v>279</v>
      </c>
      <c r="AH61" s="5">
        <v>280</v>
      </c>
      <c r="AI61" s="5">
        <v>172</v>
      </c>
      <c r="AJ61" s="5">
        <v>277</v>
      </c>
      <c r="AK61" s="5">
        <v>193</v>
      </c>
      <c r="AL61" s="5">
        <v>127</v>
      </c>
      <c r="AM61" s="5">
        <v>199</v>
      </c>
      <c r="AN61" s="5">
        <v>250</v>
      </c>
      <c r="AO61" s="5">
        <v>157</v>
      </c>
      <c r="AP61" s="5">
        <v>138</v>
      </c>
      <c r="AQ61" s="5">
        <v>148</v>
      </c>
      <c r="AR61" s="5">
        <v>240</v>
      </c>
      <c r="AS61" s="5">
        <v>127</v>
      </c>
      <c r="AT61" s="5">
        <v>124</v>
      </c>
      <c r="AU61" s="5">
        <v>79</v>
      </c>
      <c r="AV61" s="5">
        <v>14</v>
      </c>
      <c r="AW61" s="5">
        <v>8</v>
      </c>
      <c r="AX61" s="50"/>
      <c r="AY61" s="65"/>
      <c r="BF61" s="50"/>
    </row>
    <row r="62" spans="1:63" x14ac:dyDescent="0.35">
      <c r="A62" s="46" t="s">
        <v>148</v>
      </c>
      <c r="B62" s="55">
        <f t="shared" ref="B62:Y62" si="49">$AX62*Z62*4545</f>
        <v>0</v>
      </c>
      <c r="C62" s="55">
        <f t="shared" si="49"/>
        <v>0</v>
      </c>
      <c r="D62" s="55">
        <f t="shared" si="49"/>
        <v>0</v>
      </c>
      <c r="E62" s="55">
        <f t="shared" si="49"/>
        <v>792.7764397697955</v>
      </c>
      <c r="F62" s="55">
        <f t="shared" si="49"/>
        <v>791.03023615796792</v>
      </c>
      <c r="G62" s="55">
        <f t="shared" si="49"/>
        <v>926.36101607461796</v>
      </c>
      <c r="H62" s="55">
        <f t="shared" si="49"/>
        <v>1250.2817860686644</v>
      </c>
      <c r="I62" s="55">
        <f t="shared" si="49"/>
        <v>1417.9173328041279</v>
      </c>
      <c r="J62" s="55">
        <f t="shared" si="49"/>
        <v>1419.6635364159556</v>
      </c>
      <c r="K62" s="55">
        <f t="shared" si="49"/>
        <v>1307.0334034530661</v>
      </c>
      <c r="L62" s="55">
        <f t="shared" si="49"/>
        <v>1190.0377614606073</v>
      </c>
      <c r="M62" s="55">
        <f t="shared" si="49"/>
        <v>1135.9054494939471</v>
      </c>
      <c r="N62" s="55">
        <f t="shared" si="49"/>
        <v>1040.7373526493352</v>
      </c>
      <c r="O62" s="55">
        <f t="shared" si="49"/>
        <v>1062.5648977971819</v>
      </c>
      <c r="P62" s="55">
        <f t="shared" si="49"/>
        <v>1064.3111014090098</v>
      </c>
      <c r="Q62" s="55">
        <f t="shared" si="49"/>
        <v>1059.9455923794405</v>
      </c>
      <c r="R62" s="55">
        <f t="shared" si="49"/>
        <v>1005.8132804127803</v>
      </c>
      <c r="S62" s="55">
        <f t="shared" si="49"/>
        <v>969.14300456439764</v>
      </c>
      <c r="T62" s="55">
        <f t="shared" si="49"/>
        <v>955.17337566977562</v>
      </c>
      <c r="U62" s="55">
        <f t="shared" si="49"/>
        <v>1018.0367056955745</v>
      </c>
      <c r="V62" s="55">
        <f t="shared" si="49"/>
        <v>981.36642984719185</v>
      </c>
      <c r="W62" s="55">
        <f t="shared" si="49"/>
        <v>873.10180591387177</v>
      </c>
      <c r="X62" s="55">
        <f t="shared" si="49"/>
        <v>921.99550704504861</v>
      </c>
      <c r="Y62" s="64">
        <f t="shared" si="49"/>
        <v>814.60398491764238</v>
      </c>
      <c r="Z62" s="4">
        <f>SUM(Z63:Z65)/SUM($Z63:$AW65)</f>
        <v>0</v>
      </c>
      <c r="AA62" s="4">
        <f t="shared" ref="AA62:AW62" si="50">SUM(AA63:AA65)/SUM($Z63:$AW65)</f>
        <v>0</v>
      </c>
      <c r="AB62" s="4">
        <f t="shared" si="50"/>
        <v>0</v>
      </c>
      <c r="AC62" s="4">
        <f t="shared" si="50"/>
        <v>3.6038896606469535E-2</v>
      </c>
      <c r="AD62" s="4">
        <f t="shared" si="50"/>
        <v>3.5959515776939871E-2</v>
      </c>
      <c r="AE62" s="4">
        <f t="shared" si="50"/>
        <v>4.2111530065489185E-2</v>
      </c>
      <c r="AF62" s="4">
        <f t="shared" si="50"/>
        <v>5.6836673943242703E-2</v>
      </c>
      <c r="AG62" s="4">
        <f t="shared" si="50"/>
        <v>6.4457233578090897E-2</v>
      </c>
      <c r="AH62" s="4">
        <f t="shared" si="50"/>
        <v>6.4536614407620554E-2</v>
      </c>
      <c r="AI62" s="4">
        <f t="shared" si="50"/>
        <v>5.9416550902956937E-2</v>
      </c>
      <c r="AJ62" s="4">
        <f t="shared" si="50"/>
        <v>5.4098035324469142E-2</v>
      </c>
      <c r="AK62" s="4">
        <f t="shared" si="50"/>
        <v>5.1637229609049415E-2</v>
      </c>
      <c r="AL62" s="4">
        <f t="shared" si="50"/>
        <v>4.7310974399682473E-2</v>
      </c>
      <c r="AM62" s="4">
        <f t="shared" si="50"/>
        <v>4.8303234768803334E-2</v>
      </c>
      <c r="AN62" s="4">
        <f t="shared" si="50"/>
        <v>4.8382615598333005E-2</v>
      </c>
      <c r="AO62" s="4">
        <f t="shared" si="50"/>
        <v>4.8184163524508834E-2</v>
      </c>
      <c r="AP62" s="4">
        <f t="shared" si="50"/>
        <v>4.5723357809089107E-2</v>
      </c>
      <c r="AQ62" s="4">
        <f t="shared" si="50"/>
        <v>4.4056360388966063E-2</v>
      </c>
      <c r="AR62" s="4">
        <f t="shared" si="50"/>
        <v>4.3421313752728716E-2</v>
      </c>
      <c r="AS62" s="4">
        <f t="shared" si="50"/>
        <v>4.6279023615796784E-2</v>
      </c>
      <c r="AT62" s="4">
        <f t="shared" si="50"/>
        <v>4.4612026195673747E-2</v>
      </c>
      <c r="AU62" s="4">
        <f t="shared" si="50"/>
        <v>3.9690414764834293E-2</v>
      </c>
      <c r="AV62" s="4">
        <f t="shared" si="50"/>
        <v>4.1913077991665014E-2</v>
      </c>
      <c r="AW62" s="4">
        <f t="shared" si="50"/>
        <v>3.7031156975590396E-2</v>
      </c>
      <c r="AX62" s="50">
        <v>4.84</v>
      </c>
      <c r="AY62" s="65"/>
      <c r="BF62" s="50">
        <v>4.2651056212824319</v>
      </c>
      <c r="BG62" s="50">
        <v>4.404185152411209</v>
      </c>
      <c r="BH62" s="50">
        <v>4.3804784141506214</v>
      </c>
      <c r="BI62" s="50">
        <v>4.3114654649920245</v>
      </c>
      <c r="BJ62" s="50">
        <v>4.041998873430023</v>
      </c>
      <c r="BK62" s="50">
        <v>4.0670226527050879</v>
      </c>
    </row>
    <row r="63" spans="1:63" s="48" customFormat="1" x14ac:dyDescent="0.35">
      <c r="A63" s="20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64"/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0"/>
      <c r="AY63" s="65"/>
      <c r="BF63" s="50"/>
      <c r="BG63" s="50"/>
      <c r="BH63" s="50"/>
      <c r="BI63" s="50"/>
      <c r="BJ63" s="50"/>
      <c r="BK63" s="50"/>
    </row>
    <row r="64" spans="1:63" s="48" customFormat="1" x14ac:dyDescent="0.35">
      <c r="A64" s="20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64"/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0"/>
      <c r="AY64" s="65"/>
      <c r="BF64" s="50"/>
      <c r="BG64" s="50"/>
      <c r="BH64" s="50"/>
      <c r="BI64" s="50"/>
      <c r="BJ64" s="50"/>
      <c r="BK64" s="50"/>
    </row>
    <row r="65" spans="1:63" s="48" customFormat="1" x14ac:dyDescent="0.35">
      <c r="A65" s="20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1"/>
      <c r="Z65" s="5">
        <v>0</v>
      </c>
      <c r="AA65" s="5">
        <v>0</v>
      </c>
      <c r="AB65" s="5">
        <v>0</v>
      </c>
      <c r="AC65" s="5">
        <v>908</v>
      </c>
      <c r="AD65" s="5">
        <v>906</v>
      </c>
      <c r="AE65" s="5">
        <v>1061</v>
      </c>
      <c r="AF65" s="5">
        <v>1432</v>
      </c>
      <c r="AG65" s="5">
        <v>1624</v>
      </c>
      <c r="AH65" s="5">
        <v>1626</v>
      </c>
      <c r="AI65" s="5">
        <v>1497</v>
      </c>
      <c r="AJ65" s="5">
        <v>1363</v>
      </c>
      <c r="AK65" s="5">
        <v>1301</v>
      </c>
      <c r="AL65" s="5">
        <v>1192</v>
      </c>
      <c r="AM65" s="5">
        <v>1217</v>
      </c>
      <c r="AN65" s="5">
        <v>1219</v>
      </c>
      <c r="AO65" s="5">
        <v>1214</v>
      </c>
      <c r="AP65" s="5">
        <v>1152</v>
      </c>
      <c r="AQ65" s="5">
        <v>1110</v>
      </c>
      <c r="AR65" s="5">
        <v>1094</v>
      </c>
      <c r="AS65" s="5">
        <v>1166</v>
      </c>
      <c r="AT65" s="5">
        <v>1124</v>
      </c>
      <c r="AU65" s="5">
        <v>1000</v>
      </c>
      <c r="AV65" s="5">
        <v>1056</v>
      </c>
      <c r="AW65" s="5">
        <v>933</v>
      </c>
      <c r="AX65" s="50"/>
      <c r="AY65" s="65"/>
      <c r="BF65" s="50"/>
    </row>
    <row r="66" spans="1:63" x14ac:dyDescent="0.35">
      <c r="A66" s="46" t="s">
        <v>147</v>
      </c>
      <c r="B66" s="55">
        <f t="shared" ref="B66:Y66" si="51">$AX66*Z66*4545</f>
        <v>391.65949161122353</v>
      </c>
      <c r="C66" s="55">
        <f t="shared" si="51"/>
        <v>388.99060240092564</v>
      </c>
      <c r="D66" s="55">
        <f t="shared" si="51"/>
        <v>388.99060240092564</v>
      </c>
      <c r="E66" s="55">
        <f t="shared" si="51"/>
        <v>389.65782470350007</v>
      </c>
      <c r="F66" s="55">
        <f t="shared" si="51"/>
        <v>377.6478232571593</v>
      </c>
      <c r="G66" s="55">
        <f t="shared" si="51"/>
        <v>374.97893404686141</v>
      </c>
      <c r="H66" s="55">
        <f t="shared" si="51"/>
        <v>392.99393621637256</v>
      </c>
      <c r="I66" s="55">
        <f t="shared" si="51"/>
        <v>411.00893838588371</v>
      </c>
      <c r="J66" s="55">
        <f t="shared" si="51"/>
        <v>420.35005062192647</v>
      </c>
      <c r="K66" s="55">
        <f t="shared" si="51"/>
        <v>396.99727003181948</v>
      </c>
      <c r="L66" s="55">
        <f t="shared" si="51"/>
        <v>390.32504700607456</v>
      </c>
      <c r="M66" s="55">
        <f t="shared" si="51"/>
        <v>380.31671246745725</v>
      </c>
      <c r="N66" s="55">
        <f t="shared" si="51"/>
        <v>372.97726713913795</v>
      </c>
      <c r="O66" s="55">
        <f t="shared" si="51"/>
        <v>372.31004483656346</v>
      </c>
      <c r="P66" s="55">
        <f t="shared" si="51"/>
        <v>366.97226641596757</v>
      </c>
      <c r="Q66" s="55">
        <f t="shared" si="51"/>
        <v>368.30671102111654</v>
      </c>
      <c r="R66" s="55">
        <f t="shared" si="51"/>
        <v>374.97893404686141</v>
      </c>
      <c r="S66" s="55">
        <f t="shared" si="51"/>
        <v>383.65282398032969</v>
      </c>
      <c r="T66" s="55">
        <f t="shared" si="51"/>
        <v>391.65949161122353</v>
      </c>
      <c r="U66" s="55">
        <f t="shared" si="51"/>
        <v>384.98726858547872</v>
      </c>
      <c r="V66" s="55">
        <f t="shared" si="51"/>
        <v>379.64949016488276</v>
      </c>
      <c r="W66" s="55">
        <f t="shared" si="51"/>
        <v>378.98226786230828</v>
      </c>
      <c r="X66" s="55">
        <f t="shared" si="51"/>
        <v>372.97726713913795</v>
      </c>
      <c r="Y66" s="64">
        <f t="shared" si="51"/>
        <v>374.97893404686141</v>
      </c>
      <c r="Z66" s="4">
        <f t="shared" ref="Z66:AW66" si="52">Z67/SUM($Z67:$AW67)</f>
        <v>4.2450101243853053E-2</v>
      </c>
      <c r="AA66" s="4">
        <f t="shared" si="52"/>
        <v>4.2160833092276542E-2</v>
      </c>
      <c r="AB66" s="4">
        <f t="shared" si="52"/>
        <v>4.2160833092276542E-2</v>
      </c>
      <c r="AC66" s="4">
        <f t="shared" si="52"/>
        <v>4.223315013017067E-2</v>
      </c>
      <c r="AD66" s="4">
        <f t="shared" si="52"/>
        <v>4.0931443448076366E-2</v>
      </c>
      <c r="AE66" s="4">
        <f t="shared" si="52"/>
        <v>4.0642175296499855E-2</v>
      </c>
      <c r="AF66" s="4">
        <f t="shared" si="52"/>
        <v>4.2594735319641308E-2</v>
      </c>
      <c r="AG66" s="4">
        <f t="shared" si="52"/>
        <v>4.4547295342782761E-2</v>
      </c>
      <c r="AH66" s="4">
        <f t="shared" si="52"/>
        <v>4.5559733873300548E-2</v>
      </c>
      <c r="AI66" s="4">
        <f t="shared" si="52"/>
        <v>4.3028637547006074E-2</v>
      </c>
      <c r="AJ66" s="4">
        <f t="shared" si="52"/>
        <v>4.2305467168064798E-2</v>
      </c>
      <c r="AK66" s="4">
        <f t="shared" si="52"/>
        <v>4.1220711599652876E-2</v>
      </c>
      <c r="AL66" s="4">
        <f t="shared" si="52"/>
        <v>4.0425224182817472E-2</v>
      </c>
      <c r="AM66" s="4">
        <f t="shared" si="52"/>
        <v>4.0352907144923345E-2</v>
      </c>
      <c r="AN66" s="4">
        <f t="shared" si="52"/>
        <v>3.9774370841770323E-2</v>
      </c>
      <c r="AO66" s="4">
        <f t="shared" si="52"/>
        <v>3.9919004917558579E-2</v>
      </c>
      <c r="AP66" s="4">
        <f t="shared" si="52"/>
        <v>4.0642175296499855E-2</v>
      </c>
      <c r="AQ66" s="4">
        <f t="shared" si="52"/>
        <v>4.1582296789123514E-2</v>
      </c>
      <c r="AR66" s="4">
        <f t="shared" si="52"/>
        <v>4.2450101243853053E-2</v>
      </c>
      <c r="AS66" s="4">
        <f t="shared" si="52"/>
        <v>4.1726930864911776E-2</v>
      </c>
      <c r="AT66" s="4">
        <f t="shared" si="52"/>
        <v>4.1148394561758748E-2</v>
      </c>
      <c r="AU66" s="4">
        <f t="shared" si="52"/>
        <v>4.1076077523864621E-2</v>
      </c>
      <c r="AV66" s="4">
        <f t="shared" si="52"/>
        <v>4.0425224182817472E-2</v>
      </c>
      <c r="AW66" s="4">
        <f t="shared" si="52"/>
        <v>4.0642175296499855E-2</v>
      </c>
      <c r="AX66" s="50">
        <v>2.0299999999999998</v>
      </c>
      <c r="AY66" s="65"/>
      <c r="BF66" s="50">
        <v>2.5636246653707069</v>
      </c>
      <c r="BG66" s="50">
        <v>2.4206532898019564</v>
      </c>
      <c r="BH66" s="50">
        <v>2.1938711078653164</v>
      </c>
      <c r="BI66" s="50">
        <v>2.1554167378847566</v>
      </c>
      <c r="BJ66" s="50">
        <v>2.02624949512954</v>
      </c>
      <c r="BK66" s="50">
        <v>2.0666758840834625</v>
      </c>
    </row>
    <row r="67" spans="1:63" s="48" customFormat="1" x14ac:dyDescent="0.3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1"/>
      <c r="Z67" s="5">
        <v>587</v>
      </c>
      <c r="AA67" s="5">
        <v>583</v>
      </c>
      <c r="AB67" s="5">
        <v>583</v>
      </c>
      <c r="AC67" s="5">
        <v>584</v>
      </c>
      <c r="AD67" s="5">
        <v>566</v>
      </c>
      <c r="AE67" s="5">
        <v>562</v>
      </c>
      <c r="AF67" s="5">
        <v>589</v>
      </c>
      <c r="AG67" s="5">
        <v>616</v>
      </c>
      <c r="AH67" s="5">
        <v>630</v>
      </c>
      <c r="AI67" s="5">
        <v>595</v>
      </c>
      <c r="AJ67" s="5">
        <v>585</v>
      </c>
      <c r="AK67" s="5">
        <v>570</v>
      </c>
      <c r="AL67" s="5">
        <v>559</v>
      </c>
      <c r="AM67" s="5">
        <v>558</v>
      </c>
      <c r="AN67" s="5">
        <v>550</v>
      </c>
      <c r="AO67" s="5">
        <v>552</v>
      </c>
      <c r="AP67" s="5">
        <v>562</v>
      </c>
      <c r="AQ67" s="5">
        <v>575</v>
      </c>
      <c r="AR67" s="5">
        <v>587</v>
      </c>
      <c r="AS67" s="5">
        <v>577</v>
      </c>
      <c r="AT67" s="5">
        <v>569</v>
      </c>
      <c r="AU67" s="5">
        <v>568</v>
      </c>
      <c r="AV67" s="5">
        <v>559</v>
      </c>
      <c r="AW67" s="5">
        <v>562</v>
      </c>
      <c r="AX67" s="50"/>
      <c r="AY67" s="65"/>
      <c r="BF67" s="50"/>
    </row>
    <row r="68" spans="1:63" x14ac:dyDescent="0.35">
      <c r="A68" s="46" t="s">
        <v>146</v>
      </c>
      <c r="B68" s="55">
        <f t="shared" ref="B68:Y68" si="53">$AX68*Z68*4545</f>
        <v>218.00647431386346</v>
      </c>
      <c r="C68" s="55">
        <f t="shared" si="53"/>
        <v>218.00647431386346</v>
      </c>
      <c r="D68" s="55">
        <f t="shared" si="53"/>
        <v>218.00647431386346</v>
      </c>
      <c r="E68" s="55">
        <f t="shared" si="53"/>
        <v>208.92287121745247</v>
      </c>
      <c r="F68" s="55">
        <f t="shared" si="53"/>
        <v>204.38106966924698</v>
      </c>
      <c r="G68" s="55">
        <f t="shared" si="53"/>
        <v>208.92287121745247</v>
      </c>
      <c r="H68" s="55">
        <f t="shared" si="53"/>
        <v>227.09007741027443</v>
      </c>
      <c r="I68" s="55">
        <f t="shared" si="53"/>
        <v>376.96952850105555</v>
      </c>
      <c r="J68" s="55">
        <f t="shared" si="53"/>
        <v>490.51456720619279</v>
      </c>
      <c r="K68" s="55">
        <f t="shared" si="53"/>
        <v>463.26375791695989</v>
      </c>
      <c r="L68" s="55">
        <f t="shared" si="53"/>
        <v>463.26375791695989</v>
      </c>
      <c r="M68" s="55">
        <f t="shared" si="53"/>
        <v>458.72195636875438</v>
      </c>
      <c r="N68" s="55">
        <f t="shared" si="53"/>
        <v>349.7187192118227</v>
      </c>
      <c r="O68" s="55">
        <f t="shared" si="53"/>
        <v>213.46467276565801</v>
      </c>
      <c r="P68" s="55">
        <f t="shared" si="53"/>
        <v>213.46467276565801</v>
      </c>
      <c r="Q68" s="55">
        <f t="shared" si="53"/>
        <v>213.46467276565801</v>
      </c>
      <c r="R68" s="55">
        <f t="shared" si="53"/>
        <v>213.46467276565801</v>
      </c>
      <c r="S68" s="55">
        <f t="shared" si="53"/>
        <v>213.46467276565801</v>
      </c>
      <c r="T68" s="55">
        <f t="shared" si="53"/>
        <v>213.46467276565801</v>
      </c>
      <c r="U68" s="55">
        <f t="shared" si="53"/>
        <v>213.46467276565801</v>
      </c>
      <c r="V68" s="55">
        <f t="shared" si="53"/>
        <v>213.46467276565801</v>
      </c>
      <c r="W68" s="55">
        <f t="shared" si="53"/>
        <v>213.46467276565801</v>
      </c>
      <c r="X68" s="55">
        <f t="shared" si="53"/>
        <v>213.46467276565801</v>
      </c>
      <c r="Y68" s="64">
        <f t="shared" si="53"/>
        <v>213.46467276565801</v>
      </c>
      <c r="Z68" s="4">
        <f t="shared" ref="Z68:AW68" si="54">Z69/SUM($Z69:$AW69)</f>
        <v>3.377902885292048E-2</v>
      </c>
      <c r="AA68" s="4">
        <f t="shared" si="54"/>
        <v>3.377902885292048E-2</v>
      </c>
      <c r="AB68" s="4">
        <f t="shared" si="54"/>
        <v>3.377902885292048E-2</v>
      </c>
      <c r="AC68" s="4">
        <f t="shared" si="54"/>
        <v>3.2371569317382123E-2</v>
      </c>
      <c r="AD68" s="4">
        <f t="shared" si="54"/>
        <v>3.1667839549612949E-2</v>
      </c>
      <c r="AE68" s="4">
        <f t="shared" si="54"/>
        <v>3.2371569317382123E-2</v>
      </c>
      <c r="AF68" s="4">
        <f t="shared" si="54"/>
        <v>3.5186488388458829E-2</v>
      </c>
      <c r="AG68" s="4">
        <f t="shared" si="54"/>
        <v>5.840957072484166E-2</v>
      </c>
      <c r="AH68" s="4">
        <f t="shared" si="54"/>
        <v>7.6002814919071071E-2</v>
      </c>
      <c r="AI68" s="4">
        <f t="shared" si="54"/>
        <v>7.1780436312456022E-2</v>
      </c>
      <c r="AJ68" s="4">
        <f t="shared" si="54"/>
        <v>7.1780436312456022E-2</v>
      </c>
      <c r="AK68" s="4">
        <f t="shared" si="54"/>
        <v>7.1076706544686841E-2</v>
      </c>
      <c r="AL68" s="4">
        <f t="shared" si="54"/>
        <v>5.4187192118226604E-2</v>
      </c>
      <c r="AM68" s="4">
        <f t="shared" si="54"/>
        <v>3.3075299085151305E-2</v>
      </c>
      <c r="AN68" s="4">
        <f t="shared" si="54"/>
        <v>3.3075299085151305E-2</v>
      </c>
      <c r="AO68" s="4">
        <f t="shared" si="54"/>
        <v>3.3075299085151305E-2</v>
      </c>
      <c r="AP68" s="4">
        <f t="shared" si="54"/>
        <v>3.3075299085151305E-2</v>
      </c>
      <c r="AQ68" s="4">
        <f t="shared" si="54"/>
        <v>3.3075299085151305E-2</v>
      </c>
      <c r="AR68" s="4">
        <f t="shared" si="54"/>
        <v>3.3075299085151305E-2</v>
      </c>
      <c r="AS68" s="4">
        <f t="shared" si="54"/>
        <v>3.3075299085151305E-2</v>
      </c>
      <c r="AT68" s="4">
        <f t="shared" si="54"/>
        <v>3.3075299085151305E-2</v>
      </c>
      <c r="AU68" s="4">
        <f t="shared" si="54"/>
        <v>3.3075299085151305E-2</v>
      </c>
      <c r="AV68" s="4">
        <f t="shared" si="54"/>
        <v>3.3075299085151305E-2</v>
      </c>
      <c r="AW68" s="4">
        <f t="shared" si="54"/>
        <v>3.3075299085151305E-2</v>
      </c>
      <c r="AX68" s="50">
        <v>1.42</v>
      </c>
      <c r="AY68" s="65"/>
      <c r="BF68" s="50">
        <v>1.6864415104025841</v>
      </c>
      <c r="BG68" s="50">
        <v>1.6020037667404521</v>
      </c>
      <c r="BH68" s="50">
        <v>1.4892273282876045</v>
      </c>
      <c r="BI68" s="50">
        <v>1.5175660230783199</v>
      </c>
      <c r="BJ68" s="50">
        <v>1.5282653262135901</v>
      </c>
      <c r="BK68" s="50">
        <v>1.5568931913593131</v>
      </c>
    </row>
    <row r="69" spans="1:63" s="48" customFormat="1" x14ac:dyDescent="0.3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1"/>
      <c r="Z69" s="5">
        <v>48</v>
      </c>
      <c r="AA69" s="5">
        <v>48</v>
      </c>
      <c r="AB69" s="5">
        <v>48</v>
      </c>
      <c r="AC69" s="5">
        <v>46</v>
      </c>
      <c r="AD69" s="5">
        <v>45</v>
      </c>
      <c r="AE69" s="5">
        <v>46</v>
      </c>
      <c r="AF69" s="5">
        <v>50</v>
      </c>
      <c r="AG69" s="5">
        <v>83</v>
      </c>
      <c r="AH69" s="5">
        <v>108</v>
      </c>
      <c r="AI69" s="5">
        <v>102</v>
      </c>
      <c r="AJ69" s="5">
        <v>102</v>
      </c>
      <c r="AK69" s="5">
        <v>101</v>
      </c>
      <c r="AL69" s="5">
        <v>77</v>
      </c>
      <c r="AM69" s="5">
        <v>47</v>
      </c>
      <c r="AN69" s="5">
        <v>47</v>
      </c>
      <c r="AO69" s="5">
        <v>47</v>
      </c>
      <c r="AP69" s="5">
        <v>47</v>
      </c>
      <c r="AQ69" s="5">
        <v>47</v>
      </c>
      <c r="AR69" s="5">
        <v>47</v>
      </c>
      <c r="AS69" s="5">
        <v>47</v>
      </c>
      <c r="AT69" s="5">
        <v>47</v>
      </c>
      <c r="AU69" s="5">
        <v>47</v>
      </c>
      <c r="AV69" s="5">
        <v>47</v>
      </c>
      <c r="AW69" s="5">
        <v>47</v>
      </c>
      <c r="AX69" s="50"/>
      <c r="AY69" s="65"/>
      <c r="BF69" s="50"/>
    </row>
    <row r="70" spans="1:63" x14ac:dyDescent="0.35">
      <c r="A70" s="46" t="s">
        <v>145</v>
      </c>
      <c r="B70" s="55">
        <f t="shared" ref="B70:Y70" si="55">$AX70*Z70*4545</f>
        <v>1314.8663515255691</v>
      </c>
      <c r="C70" s="55">
        <f t="shared" si="55"/>
        <v>1314.8663515255691</v>
      </c>
      <c r="D70" s="55">
        <f t="shared" si="55"/>
        <v>1315.6246366187213</v>
      </c>
      <c r="E70" s="55">
        <f t="shared" si="55"/>
        <v>1315.6246366187213</v>
      </c>
      <c r="F70" s="55">
        <f t="shared" si="55"/>
        <v>1257.2366844460173</v>
      </c>
      <c r="G70" s="55">
        <f t="shared" si="55"/>
        <v>1247.3789782350414</v>
      </c>
      <c r="H70" s="55">
        <f t="shared" si="55"/>
        <v>1273.1606714022093</v>
      </c>
      <c r="I70" s="55">
        <f t="shared" si="55"/>
        <v>1323.2074875502412</v>
      </c>
      <c r="J70" s="55">
        <f t="shared" si="55"/>
        <v>1318.6577769913295</v>
      </c>
      <c r="K70" s="55">
        <f t="shared" si="55"/>
        <v>1262.5446800980812</v>
      </c>
      <c r="L70" s="55">
        <f t="shared" si="55"/>
        <v>1254.9618291665613</v>
      </c>
      <c r="M70" s="55">
        <f t="shared" si="55"/>
        <v>1233.7298465583053</v>
      </c>
      <c r="N70" s="55">
        <f t="shared" si="55"/>
        <v>1235.2464167446092</v>
      </c>
      <c r="O70" s="55">
        <f t="shared" si="55"/>
        <v>1228.4218509062414</v>
      </c>
      <c r="P70" s="55">
        <f t="shared" si="55"/>
        <v>1188.2327409691852</v>
      </c>
      <c r="Q70" s="55">
        <f t="shared" si="55"/>
        <v>1208.706438484289</v>
      </c>
      <c r="R70" s="55">
        <f t="shared" si="55"/>
        <v>1250.4121186076493</v>
      </c>
      <c r="S70" s="55">
        <f t="shared" si="55"/>
        <v>1257.2366844460173</v>
      </c>
      <c r="T70" s="55">
        <f t="shared" si="55"/>
        <v>1198.8487322733133</v>
      </c>
      <c r="U70" s="55">
        <f t="shared" si="55"/>
        <v>1195.8155919007052</v>
      </c>
      <c r="V70" s="55">
        <f t="shared" si="55"/>
        <v>1195.057306807553</v>
      </c>
      <c r="W70" s="55">
        <f t="shared" si="55"/>
        <v>1196.5738769938571</v>
      </c>
      <c r="X70" s="55">
        <f t="shared" si="55"/>
        <v>1187.4744558760331</v>
      </c>
      <c r="Y70" s="64">
        <f t="shared" si="55"/>
        <v>1223.1138552541772</v>
      </c>
      <c r="Z70" s="4">
        <f t="shared" ref="Z70:AW70" si="56">Z71/SUM($Z71:$AW71)</f>
        <v>4.3833261710356682E-2</v>
      </c>
      <c r="AA70" s="4">
        <f t="shared" si="56"/>
        <v>4.3833261710356682E-2</v>
      </c>
      <c r="AB70" s="4">
        <f t="shared" si="56"/>
        <v>4.3858540407998178E-2</v>
      </c>
      <c r="AC70" s="4">
        <f t="shared" si="56"/>
        <v>4.3858540407998178E-2</v>
      </c>
      <c r="AD70" s="4">
        <f t="shared" si="56"/>
        <v>4.1912080689602872E-2</v>
      </c>
      <c r="AE70" s="4">
        <f t="shared" si="56"/>
        <v>4.1583457620263407E-2</v>
      </c>
      <c r="AF70" s="4">
        <f t="shared" si="56"/>
        <v>4.2442933340074318E-2</v>
      </c>
      <c r="AG70" s="4">
        <f t="shared" si="56"/>
        <v>4.4111327384413153E-2</v>
      </c>
      <c r="AH70" s="4">
        <f t="shared" si="56"/>
        <v>4.3959655198564172E-2</v>
      </c>
      <c r="AI70" s="4">
        <f t="shared" si="56"/>
        <v>4.2089031573093356E-2</v>
      </c>
      <c r="AJ70" s="4">
        <f t="shared" si="56"/>
        <v>4.1836244596678382E-2</v>
      </c>
      <c r="AK70" s="4">
        <f t="shared" si="56"/>
        <v>4.1128441062716452E-2</v>
      </c>
      <c r="AL70" s="4">
        <f t="shared" si="56"/>
        <v>4.1178998457999445E-2</v>
      </c>
      <c r="AM70" s="4">
        <f t="shared" si="56"/>
        <v>4.0951490179225968E-2</v>
      </c>
      <c r="AN70" s="4">
        <f t="shared" si="56"/>
        <v>3.9611719204226598E-2</v>
      </c>
      <c r="AO70" s="4">
        <f t="shared" si="56"/>
        <v>4.0294244040547031E-2</v>
      </c>
      <c r="AP70" s="4">
        <f t="shared" si="56"/>
        <v>4.1684572410829394E-2</v>
      </c>
      <c r="AQ70" s="4">
        <f t="shared" si="56"/>
        <v>4.1912080689602872E-2</v>
      </c>
      <c r="AR70" s="4">
        <f t="shared" si="56"/>
        <v>3.9965620971207566E-2</v>
      </c>
      <c r="AS70" s="4">
        <f t="shared" si="56"/>
        <v>3.9864506180641572E-2</v>
      </c>
      <c r="AT70" s="4">
        <f t="shared" si="56"/>
        <v>3.9839227483000075E-2</v>
      </c>
      <c r="AU70" s="4">
        <f t="shared" si="56"/>
        <v>3.9889784878283069E-2</v>
      </c>
      <c r="AV70" s="4">
        <f t="shared" si="56"/>
        <v>3.9586440506585101E-2</v>
      </c>
      <c r="AW70" s="4">
        <f t="shared" si="56"/>
        <v>4.0774539295735483E-2</v>
      </c>
      <c r="AX70" s="50">
        <v>6.6</v>
      </c>
      <c r="AY70" s="65"/>
      <c r="BF70" s="50">
        <v>7.1841783060729112</v>
      </c>
      <c r="BG70" s="50">
        <v>6.7903788063279604</v>
      </c>
      <c r="BH70" s="50">
        <v>6.4915634061602976</v>
      </c>
      <c r="BI70" s="50">
        <v>6.502259512586309</v>
      </c>
      <c r="BJ70" s="50">
        <v>6.39075344386384</v>
      </c>
      <c r="BK70" s="50">
        <v>6.5874842901901021</v>
      </c>
    </row>
    <row r="71" spans="1:63" s="48" customFormat="1" x14ac:dyDescent="0.3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1"/>
      <c r="Z71" s="5">
        <v>1734</v>
      </c>
      <c r="AA71" s="5">
        <v>1734</v>
      </c>
      <c r="AB71" s="5">
        <v>1735</v>
      </c>
      <c r="AC71" s="5">
        <v>1735</v>
      </c>
      <c r="AD71" s="5">
        <v>1658</v>
      </c>
      <c r="AE71" s="5">
        <v>1645</v>
      </c>
      <c r="AF71" s="5">
        <v>1679</v>
      </c>
      <c r="AG71" s="5">
        <v>1745</v>
      </c>
      <c r="AH71" s="5">
        <v>1739</v>
      </c>
      <c r="AI71" s="5">
        <v>1665</v>
      </c>
      <c r="AJ71" s="5">
        <v>1655</v>
      </c>
      <c r="AK71" s="5">
        <v>1627</v>
      </c>
      <c r="AL71" s="5">
        <v>1629</v>
      </c>
      <c r="AM71" s="5">
        <v>1620</v>
      </c>
      <c r="AN71" s="5">
        <v>1567</v>
      </c>
      <c r="AO71" s="5">
        <v>1594</v>
      </c>
      <c r="AP71" s="5">
        <v>1649</v>
      </c>
      <c r="AQ71" s="5">
        <v>1658</v>
      </c>
      <c r="AR71" s="5">
        <v>1581</v>
      </c>
      <c r="AS71" s="5">
        <v>1577</v>
      </c>
      <c r="AT71" s="5">
        <v>1576</v>
      </c>
      <c r="AU71" s="5">
        <v>1578</v>
      </c>
      <c r="AV71" s="5">
        <v>1566</v>
      </c>
      <c r="AW71" s="5">
        <v>1613</v>
      </c>
      <c r="AX71" s="50"/>
      <c r="AY71" s="65"/>
      <c r="BF71" s="50"/>
    </row>
    <row r="72" spans="1:63" x14ac:dyDescent="0.35">
      <c r="A72" s="46" t="s">
        <v>144</v>
      </c>
      <c r="B72" s="55">
        <f t="shared" ref="B72:Y72" si="57">$AX72*Z72*4545</f>
        <v>746.69359316604368</v>
      </c>
      <c r="C72" s="55">
        <f t="shared" si="57"/>
        <v>647.84247197010143</v>
      </c>
      <c r="D72" s="55">
        <f t="shared" si="57"/>
        <v>648.65942338494381</v>
      </c>
      <c r="E72" s="55">
        <f t="shared" si="57"/>
        <v>647.84247197010143</v>
      </c>
      <c r="F72" s="55">
        <f t="shared" si="57"/>
        <v>647.84247197010143</v>
      </c>
      <c r="G72" s="55">
        <f t="shared" si="57"/>
        <v>647.02552055525894</v>
      </c>
      <c r="H72" s="55">
        <f t="shared" si="57"/>
        <v>647.02552055525894</v>
      </c>
      <c r="I72" s="55">
        <f t="shared" si="57"/>
        <v>1626.5502669514146</v>
      </c>
      <c r="J72" s="55">
        <f t="shared" si="57"/>
        <v>1627.3672183662572</v>
      </c>
      <c r="K72" s="55">
        <f t="shared" si="57"/>
        <v>1530.1499999999999</v>
      </c>
      <c r="L72" s="55">
        <f t="shared" si="57"/>
        <v>1530.1499999999999</v>
      </c>
      <c r="M72" s="55">
        <f t="shared" si="57"/>
        <v>1530.9669514148422</v>
      </c>
      <c r="N72" s="55">
        <f t="shared" si="57"/>
        <v>1529.3330485851575</v>
      </c>
      <c r="O72" s="55">
        <f t="shared" si="57"/>
        <v>1431.2988788040575</v>
      </c>
      <c r="P72" s="55">
        <f t="shared" si="57"/>
        <v>1725.4013881473572</v>
      </c>
      <c r="Q72" s="55">
        <f t="shared" si="57"/>
        <v>1726.2183395621994</v>
      </c>
      <c r="R72" s="55">
        <f t="shared" si="57"/>
        <v>1727.0352909770418</v>
      </c>
      <c r="S72" s="55">
        <f t="shared" si="57"/>
        <v>1731.9369994660972</v>
      </c>
      <c r="T72" s="55">
        <f t="shared" si="57"/>
        <v>1437.8344901227977</v>
      </c>
      <c r="U72" s="55">
        <f t="shared" si="57"/>
        <v>750.77835024025615</v>
      </c>
      <c r="V72" s="55">
        <f t="shared" si="57"/>
        <v>750.77835024025615</v>
      </c>
      <c r="W72" s="55">
        <f t="shared" si="57"/>
        <v>751.59530165509887</v>
      </c>
      <c r="X72" s="55">
        <f t="shared" si="57"/>
        <v>751.59530165509887</v>
      </c>
      <c r="Y72" s="64">
        <f t="shared" si="57"/>
        <v>750.77835024025615</v>
      </c>
      <c r="Z72" s="4">
        <f t="shared" ref="Z72:AW72" si="58">SUM(Z73:Z76)/SUM($Z73:$AW76)</f>
        <v>2.7110399240671532E-2</v>
      </c>
      <c r="AA72" s="4">
        <f t="shared" si="58"/>
        <v>2.3521385774455717E-2</v>
      </c>
      <c r="AB72" s="4">
        <f t="shared" si="58"/>
        <v>2.3551047042771549E-2</v>
      </c>
      <c r="AC72" s="4">
        <f t="shared" si="58"/>
        <v>2.3521385774455717E-2</v>
      </c>
      <c r="AD72" s="4">
        <f t="shared" si="58"/>
        <v>2.3521385774455717E-2</v>
      </c>
      <c r="AE72" s="4">
        <f t="shared" si="58"/>
        <v>2.3491724506139882E-2</v>
      </c>
      <c r="AF72" s="4">
        <f t="shared" si="58"/>
        <v>2.3491724506139882E-2</v>
      </c>
      <c r="AG72" s="4">
        <f t="shared" si="58"/>
        <v>5.9055585216823872E-2</v>
      </c>
      <c r="AH72" s="4">
        <f t="shared" si="58"/>
        <v>5.9085246485139707E-2</v>
      </c>
      <c r="AI72" s="4">
        <f t="shared" si="58"/>
        <v>5.5555555555555552E-2</v>
      </c>
      <c r="AJ72" s="4">
        <f t="shared" si="58"/>
        <v>5.5555555555555552E-2</v>
      </c>
      <c r="AK72" s="4">
        <f t="shared" si="58"/>
        <v>5.5585216823871388E-2</v>
      </c>
      <c r="AL72" s="4">
        <f t="shared" si="58"/>
        <v>5.5525894287239724E-2</v>
      </c>
      <c r="AM72" s="4">
        <f t="shared" si="58"/>
        <v>5.1966542089339741E-2</v>
      </c>
      <c r="AN72" s="4">
        <f t="shared" si="58"/>
        <v>6.264459868303969E-2</v>
      </c>
      <c r="AO72" s="4">
        <f t="shared" si="58"/>
        <v>6.2674259951355518E-2</v>
      </c>
      <c r="AP72" s="4">
        <f t="shared" si="58"/>
        <v>6.2703921219671346E-2</v>
      </c>
      <c r="AQ72" s="4">
        <f t="shared" si="58"/>
        <v>6.2881888829566357E-2</v>
      </c>
      <c r="AR72" s="4">
        <f t="shared" si="58"/>
        <v>5.2203832235866408E-2</v>
      </c>
      <c r="AS72" s="4">
        <f t="shared" si="58"/>
        <v>2.7258705582250697E-2</v>
      </c>
      <c r="AT72" s="4">
        <f t="shared" si="58"/>
        <v>2.7258705582250697E-2</v>
      </c>
      <c r="AU72" s="4">
        <f t="shared" si="58"/>
        <v>2.7288366850566532E-2</v>
      </c>
      <c r="AV72" s="4">
        <f t="shared" si="58"/>
        <v>2.7288366850566532E-2</v>
      </c>
      <c r="AW72" s="4">
        <f t="shared" si="58"/>
        <v>2.7258705582250697E-2</v>
      </c>
      <c r="AX72" s="50">
        <v>6.06</v>
      </c>
      <c r="AY72" s="65"/>
      <c r="BF72" s="50">
        <v>8.3806500367809527</v>
      </c>
      <c r="BG72" s="50">
        <v>9.5612495259722117</v>
      </c>
      <c r="BH72" s="50">
        <v>8.710214504105501</v>
      </c>
      <c r="BI72" s="50">
        <v>8.2163563020222448</v>
      </c>
      <c r="BJ72" s="50">
        <v>6.8034447486730798</v>
      </c>
      <c r="BK72" s="50">
        <v>6.3470543709739964</v>
      </c>
    </row>
    <row r="73" spans="1:63" s="48" customFormat="1" x14ac:dyDescent="0.35">
      <c r="A73" s="20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1"/>
      <c r="Z73" s="5">
        <v>64</v>
      </c>
      <c r="AA73" s="5">
        <v>63</v>
      </c>
      <c r="AB73" s="5">
        <v>64</v>
      </c>
      <c r="AC73" s="5">
        <v>63</v>
      </c>
      <c r="AD73" s="5">
        <v>63</v>
      </c>
      <c r="AE73" s="5">
        <v>62</v>
      </c>
      <c r="AF73" s="5">
        <v>62</v>
      </c>
      <c r="AG73" s="5">
        <v>61</v>
      </c>
      <c r="AH73" s="5">
        <v>62</v>
      </c>
      <c r="AI73" s="5">
        <v>63</v>
      </c>
      <c r="AJ73" s="5">
        <v>63</v>
      </c>
      <c r="AK73" s="5">
        <v>64</v>
      </c>
      <c r="AL73" s="5">
        <v>62</v>
      </c>
      <c r="AM73" s="5">
        <v>62</v>
      </c>
      <c r="AN73" s="5">
        <v>62</v>
      </c>
      <c r="AO73" s="5">
        <v>63</v>
      </c>
      <c r="AP73" s="5">
        <v>64</v>
      </c>
      <c r="AQ73" s="5">
        <v>70</v>
      </c>
      <c r="AR73" s="5">
        <v>70</v>
      </c>
      <c r="AS73" s="5">
        <v>69</v>
      </c>
      <c r="AT73" s="5">
        <v>69</v>
      </c>
      <c r="AU73" s="5">
        <v>70</v>
      </c>
      <c r="AV73" s="5">
        <v>70</v>
      </c>
      <c r="AW73" s="5">
        <v>69</v>
      </c>
      <c r="AX73" s="50"/>
      <c r="AY73" s="65"/>
      <c r="BF73" s="50"/>
    </row>
    <row r="74" spans="1:63" s="48" customFormat="1" x14ac:dyDescent="0.35">
      <c r="A74" s="20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61"/>
      <c r="Z74" s="5">
        <v>250</v>
      </c>
      <c r="AA74" s="5">
        <v>250</v>
      </c>
      <c r="AB74" s="5">
        <v>250</v>
      </c>
      <c r="AC74" s="5">
        <v>250</v>
      </c>
      <c r="AD74" s="5">
        <v>250</v>
      </c>
      <c r="AE74" s="5">
        <v>250</v>
      </c>
      <c r="AF74" s="5">
        <v>250</v>
      </c>
      <c r="AG74" s="5">
        <v>250</v>
      </c>
      <c r="AH74" s="5">
        <v>250</v>
      </c>
      <c r="AI74" s="5">
        <v>250</v>
      </c>
      <c r="AJ74" s="5">
        <v>250</v>
      </c>
      <c r="AK74" s="5">
        <v>250</v>
      </c>
      <c r="AL74" s="5">
        <v>250</v>
      </c>
      <c r="AM74" s="5">
        <v>250</v>
      </c>
      <c r="AN74" s="5">
        <v>250</v>
      </c>
      <c r="AO74" s="5">
        <v>250</v>
      </c>
      <c r="AP74" s="5">
        <v>250</v>
      </c>
      <c r="AQ74" s="5">
        <v>250</v>
      </c>
      <c r="AR74" s="5">
        <v>250</v>
      </c>
      <c r="AS74" s="5">
        <v>250</v>
      </c>
      <c r="AT74" s="5">
        <v>250</v>
      </c>
      <c r="AU74" s="5">
        <v>250</v>
      </c>
      <c r="AV74" s="5">
        <v>250</v>
      </c>
      <c r="AW74" s="5">
        <v>250</v>
      </c>
      <c r="AX74" s="50"/>
      <c r="AY74" s="65"/>
      <c r="BF74" s="50"/>
    </row>
    <row r="75" spans="1:63" s="48" customFormat="1" x14ac:dyDescent="0.35">
      <c r="A75" s="20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61"/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0"/>
      <c r="AY75" s="65"/>
      <c r="BF75" s="50"/>
    </row>
    <row r="76" spans="1:63" s="48" customFormat="1" x14ac:dyDescent="0.35">
      <c r="A76" s="20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61"/>
      <c r="Z76" s="5">
        <v>600</v>
      </c>
      <c r="AA76" s="5">
        <v>480</v>
      </c>
      <c r="AB76" s="5">
        <v>480</v>
      </c>
      <c r="AC76" s="5">
        <v>480</v>
      </c>
      <c r="AD76" s="5">
        <v>480</v>
      </c>
      <c r="AE76" s="5">
        <v>480</v>
      </c>
      <c r="AF76" s="5">
        <v>480</v>
      </c>
      <c r="AG76" s="5">
        <v>1680</v>
      </c>
      <c r="AH76" s="5">
        <v>1680</v>
      </c>
      <c r="AI76" s="5">
        <v>1560</v>
      </c>
      <c r="AJ76" s="5">
        <v>1560</v>
      </c>
      <c r="AK76" s="5">
        <v>1560</v>
      </c>
      <c r="AL76" s="5">
        <v>1560</v>
      </c>
      <c r="AM76" s="5">
        <v>1440</v>
      </c>
      <c r="AN76" s="5">
        <v>1800</v>
      </c>
      <c r="AO76" s="5">
        <v>1800</v>
      </c>
      <c r="AP76" s="5">
        <v>1800</v>
      </c>
      <c r="AQ76" s="5">
        <v>1800</v>
      </c>
      <c r="AR76" s="5">
        <v>1440</v>
      </c>
      <c r="AS76" s="5">
        <v>600</v>
      </c>
      <c r="AT76" s="5">
        <v>600</v>
      </c>
      <c r="AU76" s="5">
        <v>600</v>
      </c>
      <c r="AV76" s="5">
        <v>600</v>
      </c>
      <c r="AW76" s="5">
        <v>600</v>
      </c>
      <c r="AX76" s="50"/>
      <c r="AY76" s="65"/>
      <c r="BF76" s="50"/>
      <c r="BG76" s="50"/>
      <c r="BH76" s="50"/>
      <c r="BI76" s="50"/>
      <c r="BJ76" s="50"/>
      <c r="BK76" s="50"/>
    </row>
    <row r="77" spans="1:63" x14ac:dyDescent="0.35">
      <c r="A77" s="46" t="s">
        <v>143</v>
      </c>
      <c r="B77" s="55">
        <f t="shared" ref="B77:Y77" si="59">$AX77*Z77*4545</f>
        <v>2889.4457687866466</v>
      </c>
      <c r="C77" s="55">
        <f t="shared" si="59"/>
        <v>2863.5946883013657</v>
      </c>
      <c r="D77" s="55">
        <f t="shared" si="59"/>
        <v>2818.9428220086079</v>
      </c>
      <c r="E77" s="55">
        <f t="shared" si="59"/>
        <v>2733.1642367619934</v>
      </c>
      <c r="F77" s="55">
        <f t="shared" si="59"/>
        <v>2918.8219966108304</v>
      </c>
      <c r="G77" s="55">
        <f t="shared" si="59"/>
        <v>3234.9102079990398</v>
      </c>
      <c r="H77" s="55">
        <f t="shared" si="59"/>
        <v>3521.6221915630667</v>
      </c>
      <c r="I77" s="55">
        <f t="shared" si="59"/>
        <v>3565.0990087428581</v>
      </c>
      <c r="J77" s="55">
        <f t="shared" si="59"/>
        <v>3554.5235667261513</v>
      </c>
      <c r="K77" s="55">
        <f t="shared" si="59"/>
        <v>3402.9422311533672</v>
      </c>
      <c r="L77" s="55">
        <f t="shared" si="59"/>
        <v>3617.9762188263871</v>
      </c>
      <c r="M77" s="55">
        <f t="shared" si="59"/>
        <v>3622.6764152782571</v>
      </c>
      <c r="N77" s="55">
        <f t="shared" si="59"/>
        <v>3451.1192447850276</v>
      </c>
      <c r="O77" s="55">
        <f t="shared" si="59"/>
        <v>3578.0245489854983</v>
      </c>
      <c r="P77" s="55">
        <f t="shared" si="59"/>
        <v>3461.694686801733</v>
      </c>
      <c r="Q77" s="55">
        <f t="shared" si="59"/>
        <v>3429.9683607516158</v>
      </c>
      <c r="R77" s="55">
        <f t="shared" si="59"/>
        <v>3335.9644317142297</v>
      </c>
      <c r="S77" s="55">
        <f t="shared" si="59"/>
        <v>3500.4713075296545</v>
      </c>
      <c r="T77" s="55">
        <f t="shared" si="59"/>
        <v>3238.4353553379419</v>
      </c>
      <c r="U77" s="55">
        <f t="shared" si="59"/>
        <v>3234.9102079990398</v>
      </c>
      <c r="V77" s="55">
        <f t="shared" si="59"/>
        <v>3271.336730501027</v>
      </c>
      <c r="W77" s="55">
        <f t="shared" si="59"/>
        <v>2998.7253362926081</v>
      </c>
      <c r="X77" s="55">
        <f t="shared" si="59"/>
        <v>3126.8056896060461</v>
      </c>
      <c r="Y77" s="64">
        <f t="shared" si="59"/>
        <v>2984.6247469370001</v>
      </c>
      <c r="Z77" s="4">
        <f t="shared" ref="Z77:AW77" si="60">Z78/SUM($Z78:$AW78)</f>
        <v>3.6875965388479821E-2</v>
      </c>
      <c r="AA77" s="4">
        <f t="shared" si="60"/>
        <v>3.6546046218676423E-2</v>
      </c>
      <c r="AB77" s="4">
        <f t="shared" si="60"/>
        <v>3.5976185834470556E-2</v>
      </c>
      <c r="AC77" s="4">
        <f t="shared" si="60"/>
        <v>3.488145404375928E-2</v>
      </c>
      <c r="AD77" s="4">
        <f t="shared" si="60"/>
        <v>3.7250873535983685E-2</v>
      </c>
      <c r="AE77" s="4">
        <f t="shared" si="60"/>
        <v>4.1284885203125232E-2</v>
      </c>
      <c r="AF77" s="4">
        <f t="shared" si="60"/>
        <v>4.4943988722762923E-2</v>
      </c>
      <c r="AG77" s="4">
        <f t="shared" si="60"/>
        <v>4.549885278106864E-2</v>
      </c>
      <c r="AH77" s="4">
        <f t="shared" si="60"/>
        <v>4.5363885847967245E-2</v>
      </c>
      <c r="AI77" s="4">
        <f t="shared" si="60"/>
        <v>4.3429359806847326E-2</v>
      </c>
      <c r="AJ77" s="4">
        <f t="shared" si="60"/>
        <v>4.6173687446575587E-2</v>
      </c>
      <c r="AK77" s="4">
        <f t="shared" si="60"/>
        <v>4.6233672750176209E-2</v>
      </c>
      <c r="AL77" s="4">
        <f t="shared" si="60"/>
        <v>4.4044209168753658E-2</v>
      </c>
      <c r="AM77" s="4">
        <f t="shared" si="60"/>
        <v>4.5663812365970335E-2</v>
      </c>
      <c r="AN77" s="4">
        <f t="shared" si="60"/>
        <v>4.4179176101855046E-2</v>
      </c>
      <c r="AO77" s="4">
        <f t="shared" si="60"/>
        <v>4.3774275302550875E-2</v>
      </c>
      <c r="AP77" s="4">
        <f t="shared" si="60"/>
        <v>4.2574569230538518E-2</v>
      </c>
      <c r="AQ77" s="4">
        <f t="shared" si="60"/>
        <v>4.467405485656014E-2</v>
      </c>
      <c r="AR77" s="4">
        <f t="shared" si="60"/>
        <v>4.1329874180825697E-2</v>
      </c>
      <c r="AS77" s="4">
        <f t="shared" si="60"/>
        <v>4.1284885203125232E-2</v>
      </c>
      <c r="AT77" s="4">
        <f t="shared" si="60"/>
        <v>4.1749771306030026E-2</v>
      </c>
      <c r="AU77" s="4">
        <f t="shared" si="60"/>
        <v>3.8270623697194188E-2</v>
      </c>
      <c r="AV77" s="4">
        <f t="shared" si="60"/>
        <v>3.9905223220311023E-2</v>
      </c>
      <c r="AW77" s="4">
        <f t="shared" si="60"/>
        <v>3.8090667786392335E-2</v>
      </c>
      <c r="AX77" s="50">
        <v>17.239999999999998</v>
      </c>
      <c r="AY77" s="65"/>
      <c r="BF77" s="50">
        <v>14.590588846143053</v>
      </c>
      <c r="BG77" s="50">
        <v>14.450930436759803</v>
      </c>
      <c r="BH77" s="50">
        <v>14.895260158618116</v>
      </c>
      <c r="BI77" s="50">
        <v>14.86769338361955</v>
      </c>
      <c r="BJ77" s="50">
        <v>14.641175059049713</v>
      </c>
      <c r="BK77" s="50">
        <v>13.905988122710578</v>
      </c>
    </row>
    <row r="78" spans="1:63" s="48" customFormat="1" x14ac:dyDescent="0.35">
      <c r="A78" s="20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61"/>
      <c r="Z78" s="5">
        <v>2459</v>
      </c>
      <c r="AA78" s="5">
        <v>2437</v>
      </c>
      <c r="AB78" s="5">
        <v>2399</v>
      </c>
      <c r="AC78" s="5">
        <v>2326</v>
      </c>
      <c r="AD78" s="5">
        <v>2484</v>
      </c>
      <c r="AE78" s="5">
        <v>2753</v>
      </c>
      <c r="AF78" s="5">
        <v>2997</v>
      </c>
      <c r="AG78" s="5">
        <v>3034</v>
      </c>
      <c r="AH78" s="5">
        <v>3025</v>
      </c>
      <c r="AI78" s="5">
        <v>2896</v>
      </c>
      <c r="AJ78" s="5">
        <v>3079</v>
      </c>
      <c r="AK78" s="5">
        <v>3083</v>
      </c>
      <c r="AL78" s="5">
        <v>2937</v>
      </c>
      <c r="AM78" s="5">
        <v>3045</v>
      </c>
      <c r="AN78" s="5">
        <v>2946</v>
      </c>
      <c r="AO78" s="5">
        <v>2919</v>
      </c>
      <c r="AP78" s="5">
        <v>2839</v>
      </c>
      <c r="AQ78" s="5">
        <v>2979</v>
      </c>
      <c r="AR78" s="5">
        <v>2756</v>
      </c>
      <c r="AS78" s="5">
        <v>2753</v>
      </c>
      <c r="AT78" s="5">
        <v>2784</v>
      </c>
      <c r="AU78" s="5">
        <v>2552</v>
      </c>
      <c r="AV78" s="5">
        <v>2661</v>
      </c>
      <c r="AW78" s="5">
        <v>2540</v>
      </c>
      <c r="AX78" s="50"/>
      <c r="AY78" s="65"/>
      <c r="BF78" s="50"/>
    </row>
    <row r="79" spans="1:63" x14ac:dyDescent="0.35">
      <c r="A79" s="46" t="s">
        <v>142</v>
      </c>
      <c r="B79" s="55">
        <f t="shared" ref="B79:K80" si="61">$AX79*Z79*4545</f>
        <v>0</v>
      </c>
      <c r="C79" s="55">
        <f t="shared" si="61"/>
        <v>0</v>
      </c>
      <c r="D79" s="55">
        <f t="shared" si="61"/>
        <v>0</v>
      </c>
      <c r="E79" s="55">
        <f t="shared" si="61"/>
        <v>0</v>
      </c>
      <c r="F79" s="55">
        <f t="shared" si="61"/>
        <v>0</v>
      </c>
      <c r="G79" s="55">
        <f t="shared" si="61"/>
        <v>0</v>
      </c>
      <c r="H79" s="55">
        <f t="shared" si="61"/>
        <v>0</v>
      </c>
      <c r="I79" s="55">
        <f t="shared" si="61"/>
        <v>0</v>
      </c>
      <c r="J79" s="55">
        <f t="shared" si="61"/>
        <v>0</v>
      </c>
      <c r="K79" s="55">
        <f t="shared" si="61"/>
        <v>0</v>
      </c>
      <c r="L79" s="55">
        <f t="shared" ref="L79:U80" si="62">$AX79*AJ79*4545</f>
        <v>0</v>
      </c>
      <c r="M79" s="55">
        <f t="shared" si="62"/>
        <v>0</v>
      </c>
      <c r="N79" s="55">
        <f t="shared" si="62"/>
        <v>0</v>
      </c>
      <c r="O79" s="55">
        <f t="shared" si="62"/>
        <v>0</v>
      </c>
      <c r="P79" s="55">
        <f t="shared" si="62"/>
        <v>0</v>
      </c>
      <c r="Q79" s="55">
        <f t="shared" si="62"/>
        <v>0</v>
      </c>
      <c r="R79" s="55">
        <f t="shared" si="62"/>
        <v>0</v>
      </c>
      <c r="S79" s="55">
        <f t="shared" si="62"/>
        <v>0</v>
      </c>
      <c r="T79" s="55">
        <f t="shared" si="62"/>
        <v>0</v>
      </c>
      <c r="U79" s="55">
        <f t="shared" si="62"/>
        <v>0</v>
      </c>
      <c r="V79" s="55">
        <f t="shared" ref="V79:Y80" si="63">$AX79*AT79*4545</f>
        <v>0</v>
      </c>
      <c r="W79" s="55">
        <f t="shared" si="63"/>
        <v>0</v>
      </c>
      <c r="X79" s="55">
        <f t="shared" si="63"/>
        <v>0</v>
      </c>
      <c r="Y79" s="64">
        <f t="shared" si="63"/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0</v>
      </c>
      <c r="AX79" s="50"/>
      <c r="AY79" s="65"/>
      <c r="BF79" s="50"/>
    </row>
    <row r="80" spans="1:63" x14ac:dyDescent="0.35">
      <c r="A80" s="46" t="s">
        <v>141</v>
      </c>
      <c r="B80" s="55">
        <f t="shared" si="61"/>
        <v>3522.5483674092152</v>
      </c>
      <c r="C80" s="55">
        <f t="shared" si="61"/>
        <v>3401.1218339945071</v>
      </c>
      <c r="D80" s="55">
        <f t="shared" si="61"/>
        <v>3374.0071711931646</v>
      </c>
      <c r="E80" s="55">
        <f t="shared" si="61"/>
        <v>3454.1722612145254</v>
      </c>
      <c r="F80" s="55">
        <f t="shared" si="61"/>
        <v>3539.0529447665544</v>
      </c>
      <c r="G80" s="55">
        <f t="shared" si="61"/>
        <v>3588.5666768385713</v>
      </c>
      <c r="H80" s="55">
        <f t="shared" si="61"/>
        <v>3593.2822703692395</v>
      </c>
      <c r="I80" s="55">
        <f t="shared" si="61"/>
        <v>3898.6169514800122</v>
      </c>
      <c r="J80" s="55">
        <f t="shared" si="61"/>
        <v>3893.9013579493435</v>
      </c>
      <c r="K80" s="55">
        <f t="shared" si="61"/>
        <v>3582.6721849252363</v>
      </c>
      <c r="L80" s="55">
        <f t="shared" si="62"/>
        <v>3521.3694690265484</v>
      </c>
      <c r="M80" s="55">
        <f t="shared" si="62"/>
        <v>3580.3143881599021</v>
      </c>
      <c r="N80" s="55">
        <f t="shared" si="62"/>
        <v>3506.0437900518768</v>
      </c>
      <c r="O80" s="55">
        <f t="shared" si="62"/>
        <v>3416.4475129691787</v>
      </c>
      <c r="P80" s="55">
        <f t="shared" si="62"/>
        <v>3403.4796307598413</v>
      </c>
      <c r="Q80" s="55">
        <f t="shared" si="62"/>
        <v>3370.4704760451632</v>
      </c>
      <c r="R80" s="55">
        <f t="shared" si="62"/>
        <v>3482.4658223985352</v>
      </c>
      <c r="S80" s="55">
        <f t="shared" si="62"/>
        <v>3495.4337046078731</v>
      </c>
      <c r="T80" s="55">
        <f t="shared" si="62"/>
        <v>3562.630912419896</v>
      </c>
      <c r="U80" s="55">
        <f t="shared" si="62"/>
        <v>3627.4703234665849</v>
      </c>
      <c r="V80" s="55">
        <f t="shared" si="63"/>
        <v>3662.8372749465971</v>
      </c>
      <c r="W80" s="55">
        <f t="shared" si="63"/>
        <v>3649.8693927372597</v>
      </c>
      <c r="X80" s="55">
        <f t="shared" si="63"/>
        <v>3522.5483674092152</v>
      </c>
      <c r="Y80" s="64">
        <f t="shared" si="63"/>
        <v>3342.1769148611529</v>
      </c>
      <c r="Z80" s="4">
        <f t="shared" ref="Z80:AW80" si="64">SUM(Z81:Z87)/SUM($Z81:$AW87)</f>
        <v>4.1445890087940744E-2</v>
      </c>
      <c r="AA80" s="4">
        <f t="shared" si="64"/>
        <v>4.00171997669709E-2</v>
      </c>
      <c r="AB80" s="4">
        <f t="shared" si="64"/>
        <v>3.9698171831220354E-2</v>
      </c>
      <c r="AC80" s="4">
        <f t="shared" si="64"/>
        <v>4.0641384858656752E-2</v>
      </c>
      <c r="AD80" s="4">
        <f t="shared" si="64"/>
        <v>4.1640081005354122E-2</v>
      </c>
      <c r="AE80" s="4">
        <f t="shared" si="64"/>
        <v>4.222265375759425E-2</v>
      </c>
      <c r="AF80" s="4">
        <f t="shared" si="64"/>
        <v>4.2278136876855214E-2</v>
      </c>
      <c r="AG80" s="4">
        <f t="shared" si="64"/>
        <v>4.5870668849002691E-2</v>
      </c>
      <c r="AH80" s="4">
        <f t="shared" si="64"/>
        <v>4.5815185729741727E-2</v>
      </c>
      <c r="AI80" s="4">
        <f t="shared" si="64"/>
        <v>4.2153299858518047E-2</v>
      </c>
      <c r="AJ80" s="4">
        <f t="shared" si="64"/>
        <v>4.1432019308125505E-2</v>
      </c>
      <c r="AK80" s="4">
        <f t="shared" si="64"/>
        <v>4.2125558298887561E-2</v>
      </c>
      <c r="AL80" s="4">
        <f t="shared" si="64"/>
        <v>4.1251699170527366E-2</v>
      </c>
      <c r="AM80" s="4">
        <f t="shared" si="64"/>
        <v>4.0197519904569032E-2</v>
      </c>
      <c r="AN80" s="4">
        <f t="shared" si="64"/>
        <v>4.0044941326601378E-2</v>
      </c>
      <c r="AO80" s="4">
        <f t="shared" si="64"/>
        <v>3.9656559491774629E-2</v>
      </c>
      <c r="AP80" s="4">
        <f t="shared" si="64"/>
        <v>4.0974283574222545E-2</v>
      </c>
      <c r="AQ80" s="4">
        <f t="shared" si="64"/>
        <v>4.1126862152190198E-2</v>
      </c>
      <c r="AR80" s="4">
        <f t="shared" si="64"/>
        <v>4.1917496601658943E-2</v>
      </c>
      <c r="AS80" s="4">
        <f t="shared" si="64"/>
        <v>4.268038949149721E-2</v>
      </c>
      <c r="AT80" s="4">
        <f t="shared" si="64"/>
        <v>4.3096512885954445E-2</v>
      </c>
      <c r="AU80" s="4">
        <f t="shared" si="64"/>
        <v>4.2943934307986792E-2</v>
      </c>
      <c r="AV80" s="4">
        <f t="shared" si="64"/>
        <v>4.1445890087940744E-2</v>
      </c>
      <c r="AW80" s="4">
        <f t="shared" si="64"/>
        <v>3.9323660776208837E-2</v>
      </c>
      <c r="AX80" s="50">
        <v>18.7</v>
      </c>
      <c r="AY80" s="65"/>
      <c r="BF80" s="50">
        <v>19.598000000000003</v>
      </c>
      <c r="BG80" s="50">
        <v>19.079999999999998</v>
      </c>
      <c r="BH80" s="50">
        <v>18.340085728041956</v>
      </c>
      <c r="BI80" s="50">
        <v>17.839177094178606</v>
      </c>
      <c r="BJ80" s="50">
        <v>17.189999999999998</v>
      </c>
      <c r="BK80" s="50">
        <v>16.387784114311607</v>
      </c>
    </row>
    <row r="81" spans="1:63" s="48" customFormat="1" x14ac:dyDescent="0.35">
      <c r="A81" s="20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61"/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0"/>
      <c r="AY81" s="65"/>
      <c r="BF81" s="50"/>
    </row>
    <row r="82" spans="1:63" s="48" customFormat="1" x14ac:dyDescent="0.35">
      <c r="A82" s="20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61"/>
      <c r="Z82" s="5">
        <v>9</v>
      </c>
      <c r="AA82" s="5">
        <v>8</v>
      </c>
      <c r="AB82" s="5">
        <v>9</v>
      </c>
      <c r="AC82" s="5">
        <v>8</v>
      </c>
      <c r="AD82" s="5">
        <v>8</v>
      </c>
      <c r="AE82" s="5">
        <v>9</v>
      </c>
      <c r="AF82" s="5">
        <v>8</v>
      </c>
      <c r="AG82" s="5">
        <v>14</v>
      </c>
      <c r="AH82" s="5">
        <v>20</v>
      </c>
      <c r="AI82" s="5">
        <v>19</v>
      </c>
      <c r="AJ82" s="5">
        <v>18</v>
      </c>
      <c r="AK82" s="5">
        <v>18</v>
      </c>
      <c r="AL82" s="5">
        <v>18</v>
      </c>
      <c r="AM82" s="5">
        <v>17</v>
      </c>
      <c r="AN82" s="5">
        <v>18</v>
      </c>
      <c r="AO82" s="5">
        <v>18</v>
      </c>
      <c r="AP82" s="5">
        <v>18</v>
      </c>
      <c r="AQ82" s="5">
        <v>17</v>
      </c>
      <c r="AR82" s="5">
        <v>10</v>
      </c>
      <c r="AS82" s="5">
        <v>9</v>
      </c>
      <c r="AT82" s="5">
        <v>9</v>
      </c>
      <c r="AU82" s="5">
        <v>9</v>
      </c>
      <c r="AV82" s="5">
        <v>10</v>
      </c>
      <c r="AW82" s="5">
        <v>9</v>
      </c>
      <c r="AX82" s="50"/>
      <c r="AY82" s="65"/>
      <c r="BF82" s="50"/>
      <c r="BG82" s="50"/>
      <c r="BH82" s="50"/>
      <c r="BI82" s="50"/>
      <c r="BJ82" s="50"/>
      <c r="BK82" s="50"/>
    </row>
    <row r="83" spans="1:63" s="48" customFormat="1" x14ac:dyDescent="0.35">
      <c r="A83" s="20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61"/>
      <c r="Z83" s="5">
        <v>80</v>
      </c>
      <c r="AA83" s="5">
        <v>79</v>
      </c>
      <c r="AB83" s="5">
        <v>80</v>
      </c>
      <c r="AC83" s="5">
        <v>80</v>
      </c>
      <c r="AD83" s="5">
        <v>79</v>
      </c>
      <c r="AE83" s="5">
        <v>79</v>
      </c>
      <c r="AF83" s="5">
        <v>79</v>
      </c>
      <c r="AG83" s="5">
        <v>78</v>
      </c>
      <c r="AH83" s="5">
        <v>78</v>
      </c>
      <c r="AI83" s="5">
        <v>76</v>
      </c>
      <c r="AJ83" s="5">
        <v>76</v>
      </c>
      <c r="AK83" s="5">
        <v>75</v>
      </c>
      <c r="AL83" s="5">
        <v>76</v>
      </c>
      <c r="AM83" s="5">
        <v>76</v>
      </c>
      <c r="AN83" s="5">
        <v>76</v>
      </c>
      <c r="AO83" s="5">
        <v>76</v>
      </c>
      <c r="AP83" s="5">
        <v>76</v>
      </c>
      <c r="AQ83" s="5">
        <v>76</v>
      </c>
      <c r="AR83" s="5">
        <v>75</v>
      </c>
      <c r="AS83" s="5">
        <v>76</v>
      </c>
      <c r="AT83" s="5">
        <v>76</v>
      </c>
      <c r="AU83" s="5">
        <v>77</v>
      </c>
      <c r="AV83" s="5">
        <v>77</v>
      </c>
      <c r="AW83" s="5">
        <v>76</v>
      </c>
      <c r="AX83" s="50"/>
      <c r="AY83" s="65"/>
      <c r="BF83" s="50"/>
      <c r="BG83" s="50"/>
      <c r="BH83" s="50"/>
      <c r="BI83" s="50"/>
      <c r="BJ83" s="50"/>
      <c r="BK83" s="50"/>
    </row>
    <row r="84" spans="1:63" s="48" customFormat="1" x14ac:dyDescent="0.35">
      <c r="A84" s="20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61"/>
      <c r="Z84" s="5">
        <v>554</v>
      </c>
      <c r="AA84" s="5">
        <v>521</v>
      </c>
      <c r="AB84" s="5">
        <v>512</v>
      </c>
      <c r="AC84" s="5">
        <v>514</v>
      </c>
      <c r="AD84" s="5">
        <v>502</v>
      </c>
      <c r="AE84" s="5">
        <v>542</v>
      </c>
      <c r="AF84" s="5">
        <v>641</v>
      </c>
      <c r="AG84" s="5">
        <v>880</v>
      </c>
      <c r="AH84" s="5">
        <v>898</v>
      </c>
      <c r="AI84" s="5">
        <v>829</v>
      </c>
      <c r="AJ84" s="5">
        <v>827</v>
      </c>
      <c r="AK84" s="5">
        <v>807</v>
      </c>
      <c r="AL84" s="5">
        <v>815</v>
      </c>
      <c r="AM84" s="5">
        <v>735</v>
      </c>
      <c r="AN84" s="5">
        <v>716</v>
      </c>
      <c r="AO84" s="5">
        <v>667</v>
      </c>
      <c r="AP84" s="5">
        <v>655</v>
      </c>
      <c r="AQ84" s="5">
        <v>677</v>
      </c>
      <c r="AR84" s="5">
        <v>732</v>
      </c>
      <c r="AS84" s="5">
        <v>770</v>
      </c>
      <c r="AT84" s="5">
        <v>758</v>
      </c>
      <c r="AU84" s="5">
        <v>701</v>
      </c>
      <c r="AV84" s="5">
        <v>607</v>
      </c>
      <c r="AW84" s="5">
        <v>586</v>
      </c>
      <c r="AX84" s="50"/>
      <c r="AY84" s="65"/>
      <c r="BF84" s="50"/>
      <c r="BG84" s="50"/>
      <c r="BH84" s="50"/>
      <c r="BI84" s="50"/>
      <c r="BJ84" s="50"/>
      <c r="BK84" s="50"/>
    </row>
    <row r="85" spans="1:63" s="48" customFormat="1" x14ac:dyDescent="0.35">
      <c r="A85" s="20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61"/>
      <c r="Z85" s="5">
        <v>1475</v>
      </c>
      <c r="AA85" s="5">
        <v>1478</v>
      </c>
      <c r="AB85" s="5">
        <v>1477</v>
      </c>
      <c r="AC85" s="5">
        <v>1474</v>
      </c>
      <c r="AD85" s="5">
        <v>1467</v>
      </c>
      <c r="AE85" s="5">
        <v>1459</v>
      </c>
      <c r="AF85" s="5">
        <v>1432</v>
      </c>
      <c r="AG85" s="5">
        <v>1430</v>
      </c>
      <c r="AH85" s="5">
        <v>1432</v>
      </c>
      <c r="AI85" s="5">
        <v>1376</v>
      </c>
      <c r="AJ85" s="5">
        <v>1371</v>
      </c>
      <c r="AK85" s="5">
        <v>1365</v>
      </c>
      <c r="AL85" s="5">
        <v>1359</v>
      </c>
      <c r="AM85" s="5">
        <v>1360</v>
      </c>
      <c r="AN85" s="5">
        <v>1366</v>
      </c>
      <c r="AO85" s="5">
        <v>1367</v>
      </c>
      <c r="AP85" s="5">
        <v>1363</v>
      </c>
      <c r="AQ85" s="5">
        <v>1356</v>
      </c>
      <c r="AR85" s="5">
        <v>1351</v>
      </c>
      <c r="AS85" s="5">
        <v>1347</v>
      </c>
      <c r="AT85" s="5">
        <v>1363</v>
      </c>
      <c r="AU85" s="5">
        <v>1385</v>
      </c>
      <c r="AV85" s="5">
        <v>1386</v>
      </c>
      <c r="AW85" s="5">
        <v>1394</v>
      </c>
      <c r="AX85" s="50"/>
      <c r="AY85" s="65"/>
      <c r="BF85" s="50"/>
      <c r="BG85" s="50"/>
      <c r="BH85" s="50"/>
      <c r="BI85" s="50"/>
      <c r="BJ85" s="50"/>
      <c r="BK85" s="50"/>
    </row>
    <row r="86" spans="1:63" s="48" customFormat="1" x14ac:dyDescent="0.35">
      <c r="A86" s="20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61"/>
      <c r="Z86" s="5">
        <v>667</v>
      </c>
      <c r="AA86" s="5">
        <v>598</v>
      </c>
      <c r="AB86" s="5">
        <v>598</v>
      </c>
      <c r="AC86" s="5">
        <v>665</v>
      </c>
      <c r="AD86" s="5">
        <v>754</v>
      </c>
      <c r="AE86" s="5">
        <v>775</v>
      </c>
      <c r="AF86" s="5">
        <v>725</v>
      </c>
      <c r="AG86" s="5">
        <v>718</v>
      </c>
      <c r="AH86" s="5">
        <v>689</v>
      </c>
      <c r="AI86" s="5">
        <v>551</v>
      </c>
      <c r="AJ86" s="5">
        <v>513</v>
      </c>
      <c r="AK86" s="5">
        <v>584</v>
      </c>
      <c r="AL86" s="5">
        <v>518</v>
      </c>
      <c r="AM86" s="5">
        <v>515</v>
      </c>
      <c r="AN86" s="5">
        <v>516</v>
      </c>
      <c r="AO86" s="5">
        <v>535</v>
      </c>
      <c r="AP86" s="5">
        <v>648</v>
      </c>
      <c r="AQ86" s="5">
        <v>643</v>
      </c>
      <c r="AR86" s="5">
        <v>655</v>
      </c>
      <c r="AS86" s="5">
        <v>674</v>
      </c>
      <c r="AT86" s="5">
        <v>699</v>
      </c>
      <c r="AU86" s="5">
        <v>721</v>
      </c>
      <c r="AV86" s="5">
        <v>711</v>
      </c>
      <c r="AW86" s="5">
        <v>579</v>
      </c>
      <c r="AX86" s="50"/>
      <c r="AY86" s="65"/>
      <c r="BF86" s="50"/>
      <c r="BG86" s="50"/>
      <c r="BH86" s="50"/>
      <c r="BI86" s="50"/>
      <c r="BJ86" s="50"/>
      <c r="BK86" s="50"/>
    </row>
    <row r="87" spans="1:63" s="48" customFormat="1" x14ac:dyDescent="0.35">
      <c r="A87" s="20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61"/>
      <c r="Z87" s="5">
        <v>203</v>
      </c>
      <c r="AA87" s="5">
        <v>201</v>
      </c>
      <c r="AB87" s="5">
        <v>186</v>
      </c>
      <c r="AC87" s="5">
        <v>189</v>
      </c>
      <c r="AD87" s="5">
        <v>192</v>
      </c>
      <c r="AE87" s="5">
        <v>180</v>
      </c>
      <c r="AF87" s="5">
        <v>163</v>
      </c>
      <c r="AG87" s="5">
        <v>187</v>
      </c>
      <c r="AH87" s="5">
        <v>186</v>
      </c>
      <c r="AI87" s="5">
        <v>188</v>
      </c>
      <c r="AJ87" s="5">
        <v>182</v>
      </c>
      <c r="AK87" s="5">
        <v>188</v>
      </c>
      <c r="AL87" s="5">
        <v>188</v>
      </c>
      <c r="AM87" s="5">
        <v>195</v>
      </c>
      <c r="AN87" s="5">
        <v>195</v>
      </c>
      <c r="AO87" s="5">
        <v>196</v>
      </c>
      <c r="AP87" s="5">
        <v>194</v>
      </c>
      <c r="AQ87" s="5">
        <v>196</v>
      </c>
      <c r="AR87" s="5">
        <v>199</v>
      </c>
      <c r="AS87" s="5">
        <v>201</v>
      </c>
      <c r="AT87" s="5">
        <v>202</v>
      </c>
      <c r="AU87" s="5">
        <v>203</v>
      </c>
      <c r="AV87" s="5">
        <v>197</v>
      </c>
      <c r="AW87" s="5">
        <v>191</v>
      </c>
      <c r="AX87" s="50"/>
      <c r="AY87" s="65"/>
      <c r="BF87" s="50"/>
      <c r="BG87" s="50"/>
      <c r="BH87" s="50"/>
      <c r="BI87" s="50"/>
      <c r="BJ87" s="50"/>
      <c r="BK87" s="50"/>
    </row>
    <row r="88" spans="1:63" x14ac:dyDescent="0.35">
      <c r="A88" s="46" t="s">
        <v>140</v>
      </c>
      <c r="B88" s="55">
        <f t="shared" ref="B88:Y88" si="65">$AX88*Z88*4545</f>
        <v>0</v>
      </c>
      <c r="C88" s="55">
        <f t="shared" si="65"/>
        <v>0</v>
      </c>
      <c r="D88" s="55">
        <f t="shared" si="65"/>
        <v>0</v>
      </c>
      <c r="E88" s="55">
        <f t="shared" si="65"/>
        <v>0</v>
      </c>
      <c r="F88" s="55">
        <f t="shared" si="65"/>
        <v>0</v>
      </c>
      <c r="G88" s="55">
        <f t="shared" si="65"/>
        <v>0</v>
      </c>
      <c r="H88" s="55">
        <f t="shared" si="65"/>
        <v>1558.5155414623355</v>
      </c>
      <c r="I88" s="55">
        <f t="shared" si="65"/>
        <v>1575.2737730909625</v>
      </c>
      <c r="J88" s="55">
        <f t="shared" si="65"/>
        <v>1576.9495962538256</v>
      </c>
      <c r="K88" s="55">
        <f t="shared" si="65"/>
        <v>1573.5979499281</v>
      </c>
      <c r="L88" s="55">
        <f t="shared" si="65"/>
        <v>1576.9495962538256</v>
      </c>
      <c r="M88" s="55">
        <f t="shared" si="65"/>
        <v>1576.9495962538256</v>
      </c>
      <c r="N88" s="55">
        <f t="shared" si="65"/>
        <v>1575.2737730909625</v>
      </c>
      <c r="O88" s="55">
        <f t="shared" si="65"/>
        <v>1576.1116846723939</v>
      </c>
      <c r="P88" s="55">
        <f t="shared" si="65"/>
        <v>1576.9495962538256</v>
      </c>
      <c r="Q88" s="55">
        <f t="shared" si="65"/>
        <v>1576.9495962538256</v>
      </c>
      <c r="R88" s="55">
        <f t="shared" si="65"/>
        <v>1575.2737730909625</v>
      </c>
      <c r="S88" s="55">
        <f t="shared" si="65"/>
        <v>1576.9495962538256</v>
      </c>
      <c r="T88" s="55">
        <f t="shared" si="65"/>
        <v>1568.5704804395118</v>
      </c>
      <c r="U88" s="55">
        <f t="shared" si="65"/>
        <v>1577.7875078352567</v>
      </c>
      <c r="V88" s="55">
        <f t="shared" si="65"/>
        <v>682.89793886656093</v>
      </c>
      <c r="W88" s="55">
        <f t="shared" si="65"/>
        <v>0</v>
      </c>
      <c r="X88" s="55">
        <f t="shared" si="65"/>
        <v>0</v>
      </c>
      <c r="Y88" s="64">
        <f t="shared" si="65"/>
        <v>0</v>
      </c>
      <c r="Z88" s="4">
        <f t="shared" ref="Z88:AW88" si="66">Z89/SUM($Z89:$AW89)</f>
        <v>0</v>
      </c>
      <c r="AA88" s="4">
        <f t="shared" si="66"/>
        <v>0</v>
      </c>
      <c r="AB88" s="4">
        <f t="shared" si="66"/>
        <v>0</v>
      </c>
      <c r="AC88" s="4">
        <f t="shared" si="66"/>
        <v>0</v>
      </c>
      <c r="AD88" s="4">
        <f t="shared" si="66"/>
        <v>0</v>
      </c>
      <c r="AE88" s="4">
        <f t="shared" si="66"/>
        <v>0</v>
      </c>
      <c r="AF88" s="4">
        <f t="shared" si="66"/>
        <v>6.8581541978540619E-2</v>
      </c>
      <c r="AG88" s="4">
        <f t="shared" si="66"/>
        <v>6.9318977913793739E-2</v>
      </c>
      <c r="AH88" s="4">
        <f t="shared" si="66"/>
        <v>6.9392721507319052E-2</v>
      </c>
      <c r="AI88" s="4">
        <f t="shared" si="66"/>
        <v>6.9245234320268426E-2</v>
      </c>
      <c r="AJ88" s="4">
        <f t="shared" si="66"/>
        <v>6.9392721507319052E-2</v>
      </c>
      <c r="AK88" s="4">
        <f t="shared" si="66"/>
        <v>6.9392721507319052E-2</v>
      </c>
      <c r="AL88" s="4">
        <f t="shared" si="66"/>
        <v>6.9318977913793739E-2</v>
      </c>
      <c r="AM88" s="4">
        <f t="shared" si="66"/>
        <v>6.9355849710556389E-2</v>
      </c>
      <c r="AN88" s="4">
        <f t="shared" si="66"/>
        <v>6.9392721507319052E-2</v>
      </c>
      <c r="AO88" s="4">
        <f t="shared" si="66"/>
        <v>6.9392721507319052E-2</v>
      </c>
      <c r="AP88" s="4">
        <f t="shared" si="66"/>
        <v>6.9318977913793739E-2</v>
      </c>
      <c r="AQ88" s="4">
        <f t="shared" si="66"/>
        <v>6.9392721507319052E-2</v>
      </c>
      <c r="AR88" s="4">
        <f t="shared" si="66"/>
        <v>6.9024003539692486E-2</v>
      </c>
      <c r="AS88" s="4">
        <f t="shared" si="66"/>
        <v>6.9429593304081702E-2</v>
      </c>
      <c r="AT88" s="4">
        <f t="shared" si="66"/>
        <v>3.0050514361564837E-2</v>
      </c>
      <c r="AU88" s="4">
        <f t="shared" si="66"/>
        <v>0</v>
      </c>
      <c r="AV88" s="4">
        <f t="shared" si="66"/>
        <v>0</v>
      </c>
      <c r="AW88" s="4">
        <f t="shared" si="66"/>
        <v>0</v>
      </c>
      <c r="AX88" s="50">
        <v>5</v>
      </c>
      <c r="AY88" s="65"/>
      <c r="BF88" s="50">
        <v>6.2351651665236716</v>
      </c>
      <c r="BG88" s="50">
        <v>6.2379129163091758</v>
      </c>
      <c r="BH88" s="50">
        <v>6.2379129163091758</v>
      </c>
      <c r="BI88" s="50">
        <v>6.2379129163091758</v>
      </c>
      <c r="BJ88" s="50">
        <v>6.2379129163091758</v>
      </c>
      <c r="BK88" s="50">
        <v>6.2379129163091758</v>
      </c>
    </row>
    <row r="89" spans="1:63" x14ac:dyDescent="0.35">
      <c r="A89" s="20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61"/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1860</v>
      </c>
      <c r="AG89" s="5">
        <v>1880</v>
      </c>
      <c r="AH89" s="5">
        <v>1882</v>
      </c>
      <c r="AI89" s="5">
        <v>1878</v>
      </c>
      <c r="AJ89" s="5">
        <v>1882</v>
      </c>
      <c r="AK89" s="5">
        <v>1882</v>
      </c>
      <c r="AL89" s="5">
        <v>1880</v>
      </c>
      <c r="AM89" s="5">
        <v>1881</v>
      </c>
      <c r="AN89" s="5">
        <v>1882</v>
      </c>
      <c r="AO89" s="5">
        <v>1882</v>
      </c>
      <c r="AP89" s="5">
        <v>1880</v>
      </c>
      <c r="AQ89" s="5">
        <v>1882</v>
      </c>
      <c r="AR89" s="5">
        <v>1872</v>
      </c>
      <c r="AS89" s="5">
        <v>1883</v>
      </c>
      <c r="AT89" s="5">
        <v>815</v>
      </c>
      <c r="AU89" s="5">
        <v>0</v>
      </c>
      <c r="AV89" s="5">
        <v>0</v>
      </c>
      <c r="AW89" s="5">
        <v>0</v>
      </c>
      <c r="AX89" s="50"/>
      <c r="AY89" s="65"/>
      <c r="BF89" s="50"/>
      <c r="BG89" s="50"/>
      <c r="BH89" s="50"/>
      <c r="BI89" s="50"/>
      <c r="BJ89" s="50"/>
      <c r="BK89" s="50"/>
    </row>
    <row r="92" spans="1:63" x14ac:dyDescent="0.35"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</row>
    <row r="93" spans="1:63" x14ac:dyDescent="0.35">
      <c r="B93" s="48"/>
      <c r="C93" s="48"/>
      <c r="D93" s="48"/>
      <c r="F93" s="48"/>
      <c r="AA93" s="48"/>
      <c r="AB93" s="48"/>
      <c r="AC93" s="48"/>
      <c r="AD93" s="48"/>
      <c r="AE93" s="48"/>
    </row>
    <row r="94" spans="1:63" x14ac:dyDescent="0.35"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</row>
    <row r="95" spans="1:63" x14ac:dyDescent="0.35">
      <c r="B95" s="48"/>
      <c r="C95" s="48"/>
      <c r="D95" s="48"/>
      <c r="E95" s="48"/>
      <c r="F95" s="48"/>
      <c r="AA95" s="48"/>
      <c r="AB95" s="48"/>
      <c r="AC95" s="48"/>
      <c r="AD95" s="48"/>
      <c r="AE95" s="48"/>
    </row>
    <row r="96" spans="1:63" x14ac:dyDescent="0.35">
      <c r="B96" s="48"/>
      <c r="C96" s="48"/>
      <c r="D96" s="48"/>
      <c r="E96" s="48"/>
      <c r="F96" s="48"/>
      <c r="AA96" s="48"/>
      <c r="AB96" s="48"/>
      <c r="AC96" s="48"/>
      <c r="AD96" s="48"/>
      <c r="AE96" s="48"/>
    </row>
    <row r="97" spans="2:51" x14ac:dyDescent="0.35">
      <c r="B97" s="48"/>
      <c r="C97" s="48"/>
      <c r="D97" s="48"/>
      <c r="E97" s="48"/>
      <c r="F97" s="48"/>
    </row>
    <row r="98" spans="2:51" x14ac:dyDescent="0.35">
      <c r="B98" s="48"/>
      <c r="C98" s="48"/>
      <c r="D98" s="48"/>
      <c r="E98" s="48"/>
      <c r="F98" s="48"/>
    </row>
    <row r="99" spans="2:51" x14ac:dyDescent="0.35">
      <c r="B99" s="48"/>
      <c r="C99" s="48"/>
      <c r="D99" s="48"/>
      <c r="E99" s="48"/>
      <c r="F99" s="48"/>
    </row>
    <row r="100" spans="2:51" x14ac:dyDescent="0.35">
      <c r="B100" s="48"/>
      <c r="C100" s="48"/>
      <c r="D100" s="48"/>
      <c r="E100" s="48"/>
      <c r="F100" s="48"/>
    </row>
    <row r="101" spans="2:51" x14ac:dyDescent="0.35">
      <c r="B101" s="48"/>
      <c r="C101" s="48"/>
      <c r="D101" s="48"/>
      <c r="E101" s="48"/>
      <c r="F101" s="48"/>
      <c r="AY101"/>
    </row>
    <row r="102" spans="2:51" x14ac:dyDescent="0.35">
      <c r="B102" s="48"/>
      <c r="C102" s="48"/>
      <c r="D102" s="48"/>
      <c r="E102" s="48"/>
      <c r="F102" s="48"/>
      <c r="AY102"/>
    </row>
    <row r="103" spans="2:51" x14ac:dyDescent="0.35">
      <c r="B103" s="48"/>
      <c r="C103" s="48"/>
      <c r="D103" s="48"/>
      <c r="E103" s="48"/>
      <c r="F103" s="48"/>
      <c r="AY103"/>
    </row>
    <row r="104" spans="2:51" x14ac:dyDescent="0.35">
      <c r="B104" s="48"/>
      <c r="C104" s="48"/>
      <c r="D104" s="48"/>
      <c r="E104" s="48"/>
      <c r="F104" s="48"/>
      <c r="AY104"/>
    </row>
    <row r="105" spans="2:51" x14ac:dyDescent="0.35">
      <c r="B105" s="48"/>
      <c r="C105" s="48"/>
      <c r="D105" s="48"/>
      <c r="E105" s="48"/>
      <c r="F105" s="48"/>
      <c r="AY105"/>
    </row>
    <row r="106" spans="2:51" x14ac:dyDescent="0.35">
      <c r="B106" s="48"/>
      <c r="C106" s="48"/>
      <c r="D106" s="48"/>
      <c r="E106" s="48"/>
      <c r="F106" s="48"/>
      <c r="AY106"/>
    </row>
    <row r="107" spans="2:51" x14ac:dyDescent="0.35">
      <c r="B107" s="48"/>
      <c r="C107" s="48"/>
      <c r="D107" s="48"/>
      <c r="E107" s="48"/>
      <c r="F107" s="48"/>
      <c r="AY107"/>
    </row>
    <row r="108" spans="2:51" x14ac:dyDescent="0.35">
      <c r="B108" s="48"/>
      <c r="C108" s="48"/>
      <c r="D108" s="48"/>
      <c r="E108" s="48"/>
      <c r="F108" s="48"/>
      <c r="AY108"/>
    </row>
    <row r="109" spans="2:51" x14ac:dyDescent="0.35">
      <c r="B109" s="48"/>
      <c r="C109" s="48"/>
      <c r="D109" s="48"/>
      <c r="E109" s="48"/>
      <c r="F109" s="48"/>
      <c r="AY109"/>
    </row>
    <row r="110" spans="2:51" x14ac:dyDescent="0.35">
      <c r="B110" s="48"/>
      <c r="C110" s="48"/>
      <c r="D110" s="48"/>
      <c r="E110" s="48"/>
      <c r="F110" s="48"/>
      <c r="AY110"/>
    </row>
    <row r="111" spans="2:51" x14ac:dyDescent="0.35">
      <c r="B111" s="48"/>
      <c r="C111" s="48"/>
      <c r="D111" s="48"/>
      <c r="E111" s="48"/>
      <c r="F111" s="48"/>
      <c r="AY111"/>
    </row>
  </sheetData>
  <customSheetViews>
    <customSheetView guid="{164F6360-D646-4419-90D0-DC921EA06B9A}">
      <pane xSplit="1" ySplit="1" topLeftCell="B2" activePane="bottomRight" state="frozen"/>
      <selection pane="bottomRight" activeCell="H24" sqref="H24"/>
      <pageMargins left="0.7" right="0.7" top="0.75" bottom="0.75" header="0.3" footer="0.3"/>
    </customSheetView>
  </customSheetViews>
  <conditionalFormatting sqref="B4:Y4">
    <cfRule type="iconSet" priority="294">
      <iconSet reverse="1">
        <cfvo type="percent" val="0"/>
        <cfvo type="percent" val="33"/>
        <cfvo type="percent" val="67"/>
      </iconSet>
    </cfRule>
  </conditionalFormatting>
  <conditionalFormatting sqref="B5:Y5">
    <cfRule type="iconSet" priority="65">
      <iconSet reverse="1">
        <cfvo type="percent" val="0"/>
        <cfvo type="percent" val="10"/>
        <cfvo type="percent" val="50"/>
      </iconSet>
    </cfRule>
  </conditionalFormatting>
  <conditionalFormatting sqref="B6:Y6">
    <cfRule type="iconSet" priority="64">
      <iconSet reverse="1">
        <cfvo type="percent" val="0"/>
        <cfvo type="percent" val="10"/>
        <cfvo type="percent" val="50"/>
      </iconSet>
    </cfRule>
  </conditionalFormatting>
  <conditionalFormatting sqref="B7:Y7">
    <cfRule type="iconSet" priority="63">
      <iconSet reverse="1">
        <cfvo type="percent" val="0"/>
        <cfvo type="percent" val="10"/>
        <cfvo type="percent" val="50"/>
      </iconSet>
    </cfRule>
  </conditionalFormatting>
  <conditionalFormatting sqref="B8:Y8">
    <cfRule type="iconSet" priority="62">
      <iconSet reverse="1">
        <cfvo type="percent" val="0"/>
        <cfvo type="percent" val="10"/>
        <cfvo type="percent" val="50"/>
      </iconSet>
    </cfRule>
  </conditionalFormatting>
  <conditionalFormatting sqref="B9:Y9">
    <cfRule type="iconSet" priority="61">
      <iconSet reverse="1">
        <cfvo type="percent" val="0"/>
        <cfvo type="percent" val="10"/>
        <cfvo type="percent" val="50"/>
      </iconSet>
    </cfRule>
  </conditionalFormatting>
  <conditionalFormatting sqref="B10:Y10">
    <cfRule type="iconSet" priority="60">
      <iconSet reverse="1">
        <cfvo type="percent" val="0"/>
        <cfvo type="percent" val="10"/>
        <cfvo type="percent" val="50"/>
      </iconSet>
    </cfRule>
  </conditionalFormatting>
  <conditionalFormatting sqref="B3:Y3">
    <cfRule type="iconSet" priority="1">
      <iconSet reverse="1">
        <cfvo type="percent" val="0"/>
        <cfvo type="percent" val="10"/>
        <cfvo type="percent" val="50"/>
      </iconSet>
    </cfRule>
  </conditionalFormatting>
  <pageMargins left="0.7" right="0.7" top="0.75" bottom="0.75" header="0.3" footer="0.3"/>
  <pageSetup paperSize="9" orientation="portrait" horizontalDpi="4294967294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Y305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3" sqref="C3"/>
    </sheetView>
  </sheetViews>
  <sheetFormatPr defaultColWidth="10.7265625" defaultRowHeight="14.5" x14ac:dyDescent="0.35"/>
  <cols>
    <col min="1" max="2" width="4.1796875" style="43" customWidth="1"/>
    <col min="3" max="3" width="23.7265625" style="76" customWidth="1"/>
    <col min="4" max="27" width="10.7265625" style="93" customWidth="1"/>
    <col min="28" max="29" width="10.7265625" style="43" customWidth="1"/>
    <col min="30" max="30" width="10.7265625" style="43"/>
    <col min="31" max="53" width="10.7265625" style="43" customWidth="1"/>
    <col min="54" max="16384" width="10.7265625" style="43"/>
  </cols>
  <sheetData>
    <row r="1" spans="1:77" x14ac:dyDescent="0.35">
      <c r="A1" s="109" t="s">
        <v>267</v>
      </c>
      <c r="B1" s="109"/>
      <c r="C1" s="108" t="s">
        <v>4</v>
      </c>
      <c r="D1" s="90">
        <v>0</v>
      </c>
      <c r="E1" s="90">
        <v>1</v>
      </c>
      <c r="F1" s="90">
        <v>2</v>
      </c>
      <c r="G1" s="90">
        <v>3</v>
      </c>
      <c r="H1" s="90">
        <v>4</v>
      </c>
      <c r="I1" s="90">
        <v>5</v>
      </c>
      <c r="J1" s="90">
        <v>6</v>
      </c>
      <c r="K1" s="90">
        <v>7</v>
      </c>
      <c r="L1" s="90">
        <v>8</v>
      </c>
      <c r="M1" s="90">
        <v>9</v>
      </c>
      <c r="N1" s="90">
        <v>10</v>
      </c>
      <c r="O1" s="90">
        <v>11</v>
      </c>
      <c r="P1" s="90">
        <v>12</v>
      </c>
      <c r="Q1" s="90">
        <v>13</v>
      </c>
      <c r="R1" s="90">
        <v>14</v>
      </c>
      <c r="S1" s="90">
        <v>15</v>
      </c>
      <c r="T1" s="90">
        <v>16</v>
      </c>
      <c r="U1" s="90">
        <v>17</v>
      </c>
      <c r="V1" s="90">
        <v>18</v>
      </c>
      <c r="W1" s="90">
        <v>19</v>
      </c>
      <c r="X1" s="90">
        <v>20</v>
      </c>
      <c r="Y1" s="90">
        <v>21</v>
      </c>
      <c r="Z1" s="90">
        <v>22</v>
      </c>
      <c r="AA1" s="90">
        <v>23</v>
      </c>
    </row>
    <row r="2" spans="1:77" x14ac:dyDescent="0.35">
      <c r="A2" s="109"/>
      <c r="B2" s="109"/>
      <c r="C2" s="108" t="s">
        <v>266</v>
      </c>
      <c r="D2" s="91">
        <f>Demand!B3</f>
        <v>0.23100000000000001</v>
      </c>
      <c r="E2" s="91">
        <f>Demand!C3</f>
        <v>0.16420000000000001</v>
      </c>
      <c r="F2" s="91">
        <f>Demand!D3</f>
        <v>0.16420000000000001</v>
      </c>
      <c r="G2" s="91">
        <f>Demand!E3</f>
        <v>0.16420000000000001</v>
      </c>
      <c r="H2" s="91">
        <f>Demand!F3</f>
        <v>0.127</v>
      </c>
      <c r="I2" s="91">
        <f>Demand!G3</f>
        <v>0.127</v>
      </c>
      <c r="J2" s="91">
        <f>Demand!H3</f>
        <v>0.127</v>
      </c>
      <c r="K2" s="91">
        <f>Demand!I3</f>
        <v>0.1232</v>
      </c>
      <c r="L2" s="91">
        <f>Demand!J3</f>
        <v>0.1232</v>
      </c>
      <c r="M2" s="91">
        <f>Demand!K3</f>
        <v>0.1232</v>
      </c>
      <c r="N2" s="91">
        <f>Demand!L3</f>
        <v>0.17679999999999998</v>
      </c>
      <c r="O2" s="91">
        <f>Demand!M3</f>
        <v>0.17679999999999998</v>
      </c>
      <c r="P2" s="91">
        <f>Demand!N3</f>
        <v>0.17679999999999998</v>
      </c>
      <c r="Q2" s="91">
        <f>Demand!O3</f>
        <v>0.24460000000000001</v>
      </c>
      <c r="R2" s="91">
        <f>Demand!P3</f>
        <v>0.24460000000000001</v>
      </c>
      <c r="S2" s="91">
        <f>Demand!Q3</f>
        <v>0.24460000000000001</v>
      </c>
      <c r="T2" s="91">
        <f>Demand!R3</f>
        <v>0.27390000000000003</v>
      </c>
      <c r="U2" s="91">
        <f>Demand!S3</f>
        <v>0.27390000000000003</v>
      </c>
      <c r="V2" s="91">
        <f>Demand!T3</f>
        <v>0.27390000000000003</v>
      </c>
      <c r="W2" s="91">
        <f>Demand!U3</f>
        <v>0.26700000000000002</v>
      </c>
      <c r="X2" s="91">
        <f>Demand!V3</f>
        <v>0.26700000000000002</v>
      </c>
      <c r="Y2" s="91">
        <f>Demand!W3</f>
        <v>0.26700000000000002</v>
      </c>
      <c r="Z2" s="91">
        <f>Demand!X3</f>
        <v>0.23100000000000001</v>
      </c>
      <c r="AA2" s="91">
        <f>Demand!Y3</f>
        <v>0.23100000000000001</v>
      </c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</row>
    <row r="3" spans="1:77" s="45" customFormat="1" x14ac:dyDescent="0.35">
      <c r="A3" s="105" t="s">
        <v>171</v>
      </c>
      <c r="B3" s="105" t="s">
        <v>172</v>
      </c>
      <c r="C3" s="78" t="s">
        <v>32</v>
      </c>
      <c r="D3" s="92">
        <f>'Stations Data'!$B$3*Demand!B3</f>
        <v>0.17990280000000003</v>
      </c>
      <c r="E3" s="92">
        <f>'Stations Data'!$B$3*Demand!C3</f>
        <v>0.12787896000000001</v>
      </c>
      <c r="F3" s="92">
        <f>'Stations Data'!$B$3*Demand!D3</f>
        <v>0.12787896000000001</v>
      </c>
      <c r="G3" s="92">
        <f>'Stations Data'!$B$3*Demand!E3</f>
        <v>0.12787896000000001</v>
      </c>
      <c r="H3" s="92">
        <f>'Stations Data'!$B$3*Demand!F3</f>
        <v>9.8907600000000012E-2</v>
      </c>
      <c r="I3" s="92">
        <f>'Stations Data'!$B$3*Demand!G3</f>
        <v>9.8907600000000012E-2</v>
      </c>
      <c r="J3" s="92">
        <f>'Stations Data'!$B$3*Demand!H3</f>
        <v>9.8907600000000012E-2</v>
      </c>
      <c r="K3" s="92">
        <f>'Stations Data'!$B$3*Demand!I3</f>
        <v>9.5948160000000005E-2</v>
      </c>
      <c r="L3" s="92">
        <f>'Stations Data'!$B$3*Demand!J3</f>
        <v>9.5948160000000005E-2</v>
      </c>
      <c r="M3" s="92">
        <f>'Stations Data'!$B$3*Demand!K3</f>
        <v>9.5948160000000005E-2</v>
      </c>
      <c r="N3" s="92">
        <f>'Stations Data'!$B$3*Demand!L3</f>
        <v>0.13769184000000001</v>
      </c>
      <c r="O3" s="92">
        <f>'Stations Data'!$B$3*Demand!M3</f>
        <v>0.13769184000000001</v>
      </c>
      <c r="P3" s="92">
        <f>'Stations Data'!$B$3*Demand!N3</f>
        <v>0.13769184000000001</v>
      </c>
      <c r="Q3" s="92">
        <f>'Stations Data'!$B$3*Demand!O3</f>
        <v>0.19049448000000002</v>
      </c>
      <c r="R3" s="92">
        <f>'Stations Data'!$B$3*Demand!P3</f>
        <v>0.19049448000000002</v>
      </c>
      <c r="S3" s="92">
        <f>'Stations Data'!$B$3*Demand!Q3</f>
        <v>0.19049448000000002</v>
      </c>
      <c r="T3" s="92">
        <f>'Stations Data'!$B$3*Demand!R3</f>
        <v>0.21331332000000003</v>
      </c>
      <c r="U3" s="92">
        <f>'Stations Data'!$B$3*Demand!S3</f>
        <v>0.21331332000000003</v>
      </c>
      <c r="V3" s="92">
        <f>'Stations Data'!$B$3*Demand!T3</f>
        <v>0.21331332000000003</v>
      </c>
      <c r="W3" s="92">
        <f>'Stations Data'!$B$3*Demand!U3</f>
        <v>0.20793960000000003</v>
      </c>
      <c r="X3" s="92">
        <f>'Stations Data'!$B$3*Demand!V3</f>
        <v>0.20793960000000003</v>
      </c>
      <c r="Y3" s="92">
        <f>'Stations Data'!$B$3*Demand!W3</f>
        <v>0.20793960000000003</v>
      </c>
      <c r="Z3" s="92">
        <f>'Stations Data'!$B$3*Demand!X3</f>
        <v>0.17990280000000003</v>
      </c>
      <c r="AA3" s="92">
        <f>'Stations Data'!$B$3*Demand!Y3</f>
        <v>0.17990280000000003</v>
      </c>
    </row>
    <row r="4" spans="1:77" x14ac:dyDescent="0.35">
      <c r="A4" s="105"/>
      <c r="B4" s="105"/>
      <c r="C4" s="79" t="s">
        <v>45</v>
      </c>
      <c r="D4" s="93">
        <f>-SUM($D12:D12)</f>
        <v>-17000</v>
      </c>
      <c r="E4" s="93">
        <f>-SUM($D12:E12)</f>
        <v>-34000</v>
      </c>
      <c r="F4" s="93">
        <f>-SUM($D12:F12)</f>
        <v>-51000</v>
      </c>
      <c r="G4" s="93">
        <f>-SUM($D12:G12)</f>
        <v>-68000</v>
      </c>
      <c r="H4" s="93">
        <f>-SUM($D12:H12)</f>
        <v>-85000</v>
      </c>
      <c r="I4" s="93">
        <f>-SUM($D12:I12)</f>
        <v>-102000</v>
      </c>
      <c r="J4" s="93">
        <f>-SUM($D12:J12)</f>
        <v>-119000</v>
      </c>
      <c r="K4" s="93">
        <f>-SUM($D12:K12)</f>
        <v>-136000</v>
      </c>
      <c r="L4" s="93">
        <f>-SUM($D12:L12)</f>
        <v>-153000</v>
      </c>
      <c r="M4" s="93">
        <f>-SUM($D12:M12)</f>
        <v>-170000</v>
      </c>
      <c r="N4" s="93">
        <f>-SUM($D12:N12)</f>
        <v>-187000</v>
      </c>
      <c r="O4" s="93">
        <f>-SUM($D12:O12)</f>
        <v>-204000</v>
      </c>
      <c r="P4" s="93">
        <f>-SUM($D12:P12)</f>
        <v>-221000</v>
      </c>
      <c r="Q4" s="93">
        <f>-SUM($D12:Q12)</f>
        <v>-233105.13500000001</v>
      </c>
      <c r="R4" s="93">
        <f>-SUM($D12:R12)</f>
        <v>-245210.27000000002</v>
      </c>
      <c r="S4" s="93">
        <f>-SUM($D12:S12)</f>
        <v>-257315.40500000003</v>
      </c>
      <c r="T4" s="93">
        <f>-SUM($D12:T12)</f>
        <v>-269315.40500000003</v>
      </c>
      <c r="U4" s="93">
        <f>-SUM($D12:U12)</f>
        <v>-281315.40500000003</v>
      </c>
      <c r="V4" s="93">
        <f>-SUM($D12:V12)</f>
        <v>-293315.40500000003</v>
      </c>
      <c r="W4" s="93">
        <f>-SUM($D12:W12)</f>
        <v>-305315.40500000003</v>
      </c>
      <c r="X4" s="93">
        <f>-SUM($D12:X12)</f>
        <v>-317315.40500000003</v>
      </c>
      <c r="Y4" s="93">
        <f>-SUM($D12:Y12)</f>
        <v>-329315.40500000003</v>
      </c>
      <c r="Z4" s="93">
        <f>-SUM($D12:Z12)</f>
        <v>-346315.40500000003</v>
      </c>
      <c r="AA4" s="93">
        <f>-SUM($D12:AA12)</f>
        <v>-363315.40500000003</v>
      </c>
    </row>
    <row r="5" spans="1:77" x14ac:dyDescent="0.35">
      <c r="A5" s="105"/>
      <c r="B5" s="105"/>
      <c r="C5" s="79" t="s">
        <v>46</v>
      </c>
      <c r="D5" s="93">
        <f>'Stations Data'!$H$3-'Stations Data'!$J$3-SUM(Production!$B2:'Production'!B2)+SUM(Demand!$B11:'Demand'!B11)</f>
        <v>-587882.43451681791</v>
      </c>
      <c r="E5" s="93">
        <f>'Stations Data'!$H$3-'Stations Data'!$J$3-SUM(Production!$B2:'Production'!C2)+SUM(Demand!$B11:'Demand'!C11)</f>
        <v>-606238.34485712252</v>
      </c>
      <c r="F5" s="93">
        <f>'Stations Data'!$H$3-'Stations Data'!$J$3-SUM(Production!$B2:'Production'!D2)+SUM(Demand!$B11:'Demand'!D11)</f>
        <v>-624643.16686264193</v>
      </c>
      <c r="G5" s="93">
        <f>'Stations Data'!$H$3-'Stations Data'!$J$3-SUM(Production!$B2:'Production'!E2)+SUM(Demand!$B11:'Demand'!E11)</f>
        <v>-643044.02305746824</v>
      </c>
      <c r="H5" s="93">
        <f>'Stations Data'!$H$3-'Stations Data'!$J$3-SUM(Production!$B2:'Production'!F2)+SUM(Demand!$B11:'Demand'!F11)</f>
        <v>-661430.33794641984</v>
      </c>
      <c r="I5" s="93">
        <f>'Stations Data'!$H$3-'Stations Data'!$J$3-SUM(Production!$B2:'Production'!G2)+SUM(Demand!$B11:'Demand'!G11)</f>
        <v>-679746.59017979354</v>
      </c>
      <c r="J5" s="93">
        <f>'Stations Data'!$H$3-'Stations Data'!$J$3-SUM(Production!$B2:'Production'!H2)+SUM(Demand!$B11:'Demand'!H11)</f>
        <v>-697902.88804854616</v>
      </c>
      <c r="K5" s="93">
        <f>'Stations Data'!$H$3-'Stations Data'!$J$3-SUM(Production!$B2:'Production'!I2)+SUM(Demand!$B11:'Demand'!I11)</f>
        <v>-715123.25459372997</v>
      </c>
      <c r="L5" s="93">
        <f>'Stations Data'!$H$3-'Stations Data'!$J$3-SUM(Production!$B2:'Production'!J2)+SUM(Demand!$B11:'Demand'!J11)</f>
        <v>-729424.78446880099</v>
      </c>
      <c r="M5" s="93">
        <f>'Stations Data'!$H$3-'Stations Data'!$J$3-SUM(Production!$B2:'Production'!K2)+SUM(Demand!$B11:'Demand'!K11)</f>
        <v>-743145.98404578352</v>
      </c>
      <c r="N5" s="93">
        <f>'Stations Data'!$H$3-'Stations Data'!$J$3-SUM(Production!$B2:'Production'!L2)+SUM(Demand!$B11:'Demand'!L11)</f>
        <v>-756173.16675147577</v>
      </c>
      <c r="O5" s="93">
        <f>'Stations Data'!$H$3-'Stations Data'!$J$3-SUM(Production!$B2:'Production'!M2)+SUM(Demand!$B11:'Demand'!M11)</f>
        <v>-769403.92773941322</v>
      </c>
      <c r="P5" s="93">
        <f>'Stations Data'!$H$3-'Stations Data'!$J$3-SUM(Production!$B2:'Production'!N2)+SUM(Demand!$B11:'Demand'!N11)</f>
        <v>-783078.85952497646</v>
      </c>
      <c r="Q5" s="93">
        <f>'Stations Data'!$H$3-'Stations Data'!$J$3-SUM(Production!$B2:'Production'!O2)+SUM(Demand!$B11:'Demand'!O11)</f>
        <v>-797240.26408889168</v>
      </c>
      <c r="R5" s="93">
        <f>'Stations Data'!$H$3-'Stations Data'!$J$3-SUM(Production!$B2:'Production'!P2)+SUM(Demand!$B11:'Demand'!P11)</f>
        <v>-811971.42345571402</v>
      </c>
      <c r="S5" s="93">
        <f>'Stations Data'!$H$3-'Stations Data'!$J$3-SUM(Production!$B2:'Production'!Q2)+SUM(Demand!$B11:'Demand'!Q11)</f>
        <v>-826858.57137646445</v>
      </c>
      <c r="T5" s="93">
        <f>'Stations Data'!$H$3-'Stations Data'!$J$3-SUM(Production!$B2:'Production'!R2)+SUM(Demand!$B11:'Demand'!R11)</f>
        <v>-841630.71078711539</v>
      </c>
      <c r="U5" s="93">
        <f>'Stations Data'!$H$3-'Stations Data'!$J$3-SUM(Production!$B2:'Production'!S2)+SUM(Demand!$B11:'Demand'!S11)</f>
        <v>-856339.39722667681</v>
      </c>
      <c r="V5" s="93">
        <f>'Stations Data'!$H$3-'Stations Data'!$J$3-SUM(Production!$B2:'Production'!T2)+SUM(Demand!$B11:'Demand'!T11)</f>
        <v>-870919.85578716174</v>
      </c>
      <c r="W5" s="93">
        <f>'Stations Data'!$H$3-'Stations Data'!$J$3-SUM(Production!$B2:'Production'!U2)+SUM(Demand!$B11:'Demand'!U11)</f>
        <v>-885727.68749405036</v>
      </c>
      <c r="X5" s="93">
        <f>'Stations Data'!$H$3-'Stations Data'!$J$3-SUM(Production!$B2:'Production'!V2)+SUM(Demand!$B11:'Demand'!V11)</f>
        <v>-899068.1692444965</v>
      </c>
      <c r="Y5" s="93">
        <f>'Stations Data'!$H$3-'Stations Data'!$J$3-SUM(Production!$B2:'Production'!W2)+SUM(Demand!$B11:'Demand'!W11)</f>
        <v>-912620.16089857405</v>
      </c>
      <c r="Z5" s="93">
        <f>'Stations Data'!$H$3-'Stations Data'!$J$3-SUM(Production!$B2:'Production'!X2)+SUM(Demand!$B11:'Demand'!X11)</f>
        <v>-926268.65394618339</v>
      </c>
      <c r="AA5" s="93">
        <f>'Stations Data'!$L$3-'Stations Data'!$J$3-SUM(Production!$B2:'Production'!Y2)+SUM(Demand!$B11:'Demand'!Y11)</f>
        <v>-370735.64999999932</v>
      </c>
    </row>
    <row r="6" spans="1:77" x14ac:dyDescent="0.35">
      <c r="A6" s="105"/>
      <c r="B6" s="105"/>
      <c r="C6" s="79" t="s">
        <v>47</v>
      </c>
      <c r="D6" s="93">
        <f>'Stations Data'!$N$3-'Stations Data'!$J$3-SUM(Production!$B2:'Production'!B2)+SUM(Demand!$B11:'Demand'!B11)</f>
        <v>124091.81548318219</v>
      </c>
      <c r="E6" s="93">
        <f>'Stations Data'!$N$3-'Stations Data'!$J$3-SUM(Production!$B2:'Production'!C2)+SUM(Demand!$B11:'Demand'!C11)</f>
        <v>105735.90514287757</v>
      </c>
      <c r="F6" s="93">
        <f>'Stations Data'!$N$3-'Stations Data'!$J$3-SUM(Production!$B2:'Production'!D2)+SUM(Demand!$B11:'Demand'!D11)</f>
        <v>87331.08313735819</v>
      </c>
      <c r="G6" s="93">
        <f>'Stations Data'!$N$3-'Stations Data'!$J$3-SUM(Production!$B2:'Production'!E2)+SUM(Demand!$B11:'Demand'!E11)</f>
        <v>68930.22694253191</v>
      </c>
      <c r="H6" s="93">
        <f>'Stations Data'!$N$3-'Stations Data'!$J$3-SUM(Production!$B2:'Production'!F2)+SUM(Demand!$B11:'Demand'!F11)</f>
        <v>50543.912053580279</v>
      </c>
      <c r="I6" s="93">
        <f>'Stations Data'!$N$3-'Stations Data'!$J$3-SUM(Production!$B2:'Production'!G2)+SUM(Demand!$B11:'Demand'!G11)</f>
        <v>32227.659820206522</v>
      </c>
      <c r="J6" s="93">
        <f>'Stations Data'!$N$3-'Stations Data'!$J$3-SUM(Production!$B2:'Production'!H2)+SUM(Demand!$B11:'Demand'!H11)</f>
        <v>14071.36195145399</v>
      </c>
      <c r="K6" s="93">
        <f>'Stations Data'!$N$3-'Stations Data'!$J$3-SUM(Production!$B2:'Production'!I2)+SUM(Demand!$B11:'Demand'!I11)</f>
        <v>-3149.0045937297982</v>
      </c>
      <c r="L6" s="93">
        <f>'Stations Data'!$N$3-'Stations Data'!$J$3-SUM(Production!$B2:'Production'!J2)+SUM(Demand!$B11:'Demand'!J11)</f>
        <v>-17450.534468800935</v>
      </c>
      <c r="M6" s="93">
        <f>'Stations Data'!$N$3-'Stations Data'!$J$3-SUM(Production!$B2:'Production'!K2)+SUM(Demand!$B11:'Demand'!K11)</f>
        <v>-31171.734045783523</v>
      </c>
      <c r="N6" s="93">
        <f>'Stations Data'!$N$3-'Stations Data'!$J$3-SUM(Production!$B2:'Production'!L2)+SUM(Demand!$B11:'Demand'!L11)</f>
        <v>-44198.916751475772</v>
      </c>
      <c r="O6" s="93">
        <f>'Stations Data'!$N$3-'Stations Data'!$J$3-SUM(Production!$B2:'Production'!M2)+SUM(Demand!$B11:'Demand'!M11)</f>
        <v>-57429.677739413164</v>
      </c>
      <c r="P6" s="93">
        <f>'Stations Data'!$N$3-'Stations Data'!$J$3-SUM(Production!$B2:'Production'!N2)+SUM(Demand!$B11:'Demand'!N11)</f>
        <v>-71104.609524976404</v>
      </c>
      <c r="Q6" s="93">
        <f>'Stations Data'!$N$3-'Stations Data'!$J$3-SUM(Production!$B2:'Production'!O2)+SUM(Demand!$B11:'Demand'!O11)</f>
        <v>-85266.014088891738</v>
      </c>
      <c r="R6" s="93">
        <f>'Stations Data'!$N$3-'Stations Data'!$J$3-SUM(Production!$B2:'Production'!P2)+SUM(Demand!$B11:'Demand'!P11)</f>
        <v>-99997.173455714015</v>
      </c>
      <c r="S6" s="93">
        <f>'Stations Data'!$N$3-'Stations Data'!$J$3-SUM(Production!$B2:'Production'!Q2)+SUM(Demand!$B11:'Demand'!Q11)</f>
        <v>-114884.32137646445</v>
      </c>
      <c r="T6" s="93">
        <f>'Stations Data'!$N$3-'Stations Data'!$J$3-SUM(Production!$B2:'Production'!R2)+SUM(Demand!$B11:'Demand'!R11)</f>
        <v>-129656.46078711539</v>
      </c>
      <c r="U6" s="93">
        <f>'Stations Data'!$N$3-'Stations Data'!$J$3-SUM(Production!$B2:'Production'!S2)+SUM(Demand!$B11:'Demand'!S11)</f>
        <v>-144365.14722667681</v>
      </c>
      <c r="V6" s="93">
        <f>'Stations Data'!$N$3-'Stations Data'!$J$3-SUM(Production!$B2:'Production'!T2)+SUM(Demand!$B11:'Demand'!T11)</f>
        <v>-158945.60578716174</v>
      </c>
      <c r="W6" s="93">
        <f>'Stations Data'!$N$3-'Stations Data'!$J$3-SUM(Production!$B2:'Production'!U2)+SUM(Demand!$B11:'Demand'!U11)</f>
        <v>-173753.43749405036</v>
      </c>
      <c r="X6" s="93">
        <f>'Stations Data'!$N$3-'Stations Data'!$J$3-SUM(Production!$B2:'Production'!V2)+SUM(Demand!$B11:'Demand'!V11)</f>
        <v>-187093.9192444965</v>
      </c>
      <c r="Y6" s="93">
        <f>'Stations Data'!$N$3-'Stations Data'!$J$3-SUM(Production!$B2:'Production'!W2)+SUM(Demand!$B11:'Demand'!W11)</f>
        <v>-200645.91089857405</v>
      </c>
      <c r="Z6" s="93">
        <f>'Stations Data'!$N$3-'Stations Data'!$J$3-SUM(Production!$B2:'Production'!X2)+SUM(Demand!$B11:'Demand'!X11)</f>
        <v>-214294.40394618339</v>
      </c>
      <c r="AA6" s="93">
        <f>'Stations Data'!$N$3-'Stations Data'!$J$3-SUM(Production!$B2:'Production'!Y2)+SUM(Demand!$B11:'Demand'!Y11)</f>
        <v>-228340.79999999923</v>
      </c>
    </row>
    <row r="7" spans="1:77" x14ac:dyDescent="0.35">
      <c r="A7" s="105"/>
      <c r="B7" s="105"/>
      <c r="C7" s="80" t="s">
        <v>49</v>
      </c>
    </row>
    <row r="8" spans="1:77" x14ac:dyDescent="0.35">
      <c r="A8" s="105"/>
      <c r="B8" s="105"/>
      <c r="C8" s="80" t="s">
        <v>50</v>
      </c>
      <c r="D8" s="94">
        <f>(AA12-D12)</f>
        <v>0</v>
      </c>
      <c r="E8" s="93">
        <f>(D12-E12)</f>
        <v>0</v>
      </c>
      <c r="F8" s="93">
        <f t="shared" ref="F8:AA8" si="0">(E12-F12)</f>
        <v>0</v>
      </c>
      <c r="G8" s="93">
        <f t="shared" si="0"/>
        <v>0</v>
      </c>
      <c r="H8" s="93">
        <f t="shared" si="0"/>
        <v>0</v>
      </c>
      <c r="I8" s="93">
        <f t="shared" si="0"/>
        <v>0</v>
      </c>
      <c r="J8" s="93">
        <f t="shared" si="0"/>
        <v>0</v>
      </c>
      <c r="K8" s="93">
        <f t="shared" si="0"/>
        <v>0</v>
      </c>
      <c r="L8" s="93">
        <f t="shared" si="0"/>
        <v>0</v>
      </c>
      <c r="M8" s="93">
        <f t="shared" si="0"/>
        <v>0</v>
      </c>
      <c r="N8" s="93">
        <f t="shared" si="0"/>
        <v>0</v>
      </c>
      <c r="O8" s="93">
        <f t="shared" si="0"/>
        <v>0</v>
      </c>
      <c r="P8" s="93">
        <f t="shared" si="0"/>
        <v>0</v>
      </c>
      <c r="Q8" s="93">
        <f t="shared" si="0"/>
        <v>4894.8649999999998</v>
      </c>
      <c r="R8" s="93">
        <f t="shared" si="0"/>
        <v>0</v>
      </c>
      <c r="S8" s="93">
        <f t="shared" si="0"/>
        <v>0</v>
      </c>
      <c r="T8" s="93">
        <f t="shared" si="0"/>
        <v>105.13500000000022</v>
      </c>
      <c r="U8" s="93">
        <f t="shared" si="0"/>
        <v>0</v>
      </c>
      <c r="V8" s="93">
        <f t="shared" si="0"/>
        <v>0</v>
      </c>
      <c r="W8" s="93">
        <f t="shared" si="0"/>
        <v>0</v>
      </c>
      <c r="X8" s="93">
        <f t="shared" si="0"/>
        <v>0</v>
      </c>
      <c r="Y8" s="93">
        <f t="shared" si="0"/>
        <v>0</v>
      </c>
      <c r="Z8" s="93">
        <f t="shared" si="0"/>
        <v>-5000</v>
      </c>
      <c r="AA8" s="93">
        <f t="shared" si="0"/>
        <v>0</v>
      </c>
    </row>
    <row r="9" spans="1:77" x14ac:dyDescent="0.35">
      <c r="A9" s="105"/>
      <c r="B9" s="105"/>
      <c r="C9" s="80" t="s">
        <v>51</v>
      </c>
      <c r="D9" s="94">
        <f>-(AA12-D12)</f>
        <v>0</v>
      </c>
      <c r="E9" s="93">
        <f>-(D12-E12)</f>
        <v>0</v>
      </c>
      <c r="F9" s="93">
        <f t="shared" ref="F9:AA9" si="1">-(E12-F12)</f>
        <v>0</v>
      </c>
      <c r="G9" s="93">
        <f t="shared" si="1"/>
        <v>0</v>
      </c>
      <c r="H9" s="93">
        <f t="shared" si="1"/>
        <v>0</v>
      </c>
      <c r="I9" s="93">
        <f t="shared" si="1"/>
        <v>0</v>
      </c>
      <c r="J9" s="93">
        <f t="shared" si="1"/>
        <v>0</v>
      </c>
      <c r="K9" s="93">
        <f t="shared" si="1"/>
        <v>0</v>
      </c>
      <c r="L9" s="93">
        <f t="shared" si="1"/>
        <v>0</v>
      </c>
      <c r="M9" s="93">
        <f t="shared" si="1"/>
        <v>0</v>
      </c>
      <c r="N9" s="93">
        <f t="shared" si="1"/>
        <v>0</v>
      </c>
      <c r="O9" s="93">
        <f t="shared" si="1"/>
        <v>0</v>
      </c>
      <c r="P9" s="93">
        <f t="shared" si="1"/>
        <v>0</v>
      </c>
      <c r="Q9" s="93">
        <f t="shared" si="1"/>
        <v>-4894.8649999999998</v>
      </c>
      <c r="R9" s="93">
        <f t="shared" si="1"/>
        <v>0</v>
      </c>
      <c r="S9" s="93">
        <f t="shared" si="1"/>
        <v>0</v>
      </c>
      <c r="T9" s="93">
        <f t="shared" si="1"/>
        <v>-105.13500000000022</v>
      </c>
      <c r="U9" s="93">
        <f t="shared" si="1"/>
        <v>0</v>
      </c>
      <c r="V9" s="93">
        <f t="shared" si="1"/>
        <v>0</v>
      </c>
      <c r="W9" s="93">
        <f t="shared" si="1"/>
        <v>0</v>
      </c>
      <c r="X9" s="93">
        <f t="shared" si="1"/>
        <v>0</v>
      </c>
      <c r="Y9" s="93">
        <f t="shared" si="1"/>
        <v>0</v>
      </c>
      <c r="Z9" s="93">
        <f t="shared" si="1"/>
        <v>5000</v>
      </c>
      <c r="AA9" s="93">
        <f t="shared" si="1"/>
        <v>0</v>
      </c>
    </row>
    <row r="10" spans="1:77" x14ac:dyDescent="0.35">
      <c r="A10" s="105"/>
      <c r="B10" s="105"/>
      <c r="C10" s="80" t="s">
        <v>52</v>
      </c>
      <c r="D10" s="93">
        <v>10000</v>
      </c>
      <c r="G10" s="93" t="s">
        <v>44</v>
      </c>
      <c r="I10" s="93">
        <f>SUM(D256:AA256)</f>
        <v>9999.9999800000005</v>
      </c>
    </row>
    <row r="11" spans="1:77" x14ac:dyDescent="0.35">
      <c r="A11" s="105"/>
      <c r="B11" s="105"/>
      <c r="C11" s="79" t="s">
        <v>48</v>
      </c>
      <c r="D11" s="93">
        <f>'Stations Data'!$J$3+SUM(Production!$B2:'Production'!B2)-SUM($D257:D257)-SUM(Demand!$B11:'Demand'!B11)</f>
        <v>1140461.8345168179</v>
      </c>
      <c r="E11" s="93">
        <f>'Stations Data'!$J$3+SUM(Production!$B2:'Production'!C2)-SUM($D257:E257)-SUM(Demand!$B11:'Demand'!C11)</f>
        <v>1141817.7448571227</v>
      </c>
      <c r="F11" s="93">
        <f>'Stations Data'!$J$3+SUM(Production!$B2:'Production'!D2)-SUM($D257:F257)-SUM(Demand!$B11:'Demand'!D11)</f>
        <v>1143222.5668626418</v>
      </c>
      <c r="G11" s="93">
        <f>'Stations Data'!$J$3+SUM(Production!$B2:'Production'!E2)-SUM($D257:G257)-SUM(Demand!$B11:'Demand'!E11)</f>
        <v>1144623.4230574681</v>
      </c>
      <c r="H11" s="93">
        <f>'Stations Data'!$J$3+SUM(Production!$B2:'Production'!F2)-SUM($D257:H257)-SUM(Demand!$B11:'Demand'!F11)</f>
        <v>1146009.73794642</v>
      </c>
      <c r="I11" s="93">
        <f>'Stations Data'!$J$3+SUM(Production!$B2:'Production'!G2)-SUM($D257:I257)-SUM(Demand!$B11:'Demand'!G11)</f>
        <v>1147325.9901797937</v>
      </c>
      <c r="J11" s="93">
        <f>'Stations Data'!$J$3+SUM(Production!$B2:'Production'!H2)-SUM($D257:J257)-SUM(Demand!$B11:'Demand'!H11)</f>
        <v>1148482.2880485461</v>
      </c>
      <c r="K11" s="93">
        <f>'Stations Data'!$J$3+SUM(Production!$B2:'Production'!I2)-SUM($D257:K257)-SUM(Demand!$B11:'Demand'!I11)</f>
        <v>1148702.6545937299</v>
      </c>
      <c r="L11" s="93">
        <f>'Stations Data'!$J$3+SUM(Production!$B2:'Production'!J2)-SUM($D257:L257)-SUM(Demand!$B11:'Demand'!J11)</f>
        <v>1146004.1844688011</v>
      </c>
      <c r="M11" s="93">
        <f>'Stations Data'!$J$3+SUM(Production!$B2:'Production'!K2)-SUM($D257:M257)-SUM(Demand!$B11:'Demand'!K11)</f>
        <v>1142725.3840457837</v>
      </c>
      <c r="N11" s="93">
        <f>'Stations Data'!$J$3+SUM(Production!$B2:'Production'!L2)-SUM($D257:N257)-SUM(Demand!$B11:'Demand'!L11)</f>
        <v>1138752.5667514759</v>
      </c>
      <c r="O11" s="93">
        <f>'Stations Data'!$J$3+SUM(Production!$B2:'Production'!M2)-SUM($D257:O257)-SUM(Demand!$B11:'Demand'!M11)</f>
        <v>1134983.3277394134</v>
      </c>
      <c r="P11" s="93">
        <f>'Stations Data'!$J$3+SUM(Production!$B2:'Production'!N2)-SUM($D257:P257)-SUM(Demand!$B11:'Demand'!N11)</f>
        <v>1131658.2595249766</v>
      </c>
      <c r="Q11" s="93">
        <f>'Stations Data'!$J$3+SUM(Production!$B2:'Production'!O2)-SUM($D257:Q257)-SUM(Demand!$B11:'Demand'!O11)</f>
        <v>1133714.5290888918</v>
      </c>
      <c r="R11" s="93">
        <f>'Stations Data'!$J$3+SUM(Production!$B2:'Production'!P2)-SUM($D257:R257)-SUM(Demand!$B11:'Demand'!P11)</f>
        <v>1136340.5534557141</v>
      </c>
      <c r="S11" s="93">
        <f>'Stations Data'!$J$3+SUM(Production!$B2:'Production'!Q2)-SUM($D257:S257)-SUM(Demand!$B11:'Demand'!Q11)</f>
        <v>1139122.5663764644</v>
      </c>
      <c r="T11" s="93">
        <f>'Stations Data'!$J$3+SUM(Production!$B2:'Production'!R2)-SUM($D257:T257)-SUM(Demand!$B11:'Demand'!R11)</f>
        <v>1141894.7057871155</v>
      </c>
      <c r="U11" s="93">
        <f>'Stations Data'!$J$3+SUM(Production!$B2:'Production'!S2)-SUM($D257:U257)-SUM(Demand!$B11:'Demand'!S11)</f>
        <v>1144603.3922266769</v>
      </c>
      <c r="V11" s="93">
        <f>'Stations Data'!$J$3+SUM(Production!$B2:'Production'!T2)-SUM($D257:V257)-SUM(Demand!$B11:'Demand'!T11)</f>
        <v>1147183.8507871616</v>
      </c>
      <c r="W11" s="93">
        <f>'Stations Data'!$J$3+SUM(Production!$B2:'Production'!U2)-SUM($D257:W257)-SUM(Demand!$B11:'Demand'!U11)</f>
        <v>1149991.6824940504</v>
      </c>
      <c r="X11" s="93">
        <f>'Stations Data'!$J$3+SUM(Production!$B2:'Production'!V2)-SUM($D257:X257)-SUM(Demand!$B11:'Demand'!V11)</f>
        <v>1151332.1642444963</v>
      </c>
      <c r="Y11" s="93">
        <f>'Stations Data'!$J$3+SUM(Production!$B2:'Production'!W2)-SUM($D257:Y257)-SUM(Demand!$B11:'Demand'!W11)</f>
        <v>1152884.1558985738</v>
      </c>
      <c r="Z11" s="93">
        <f>'Stations Data'!$J$3+SUM(Production!$B2:'Production'!X2)-SUM($D257:Z257)-SUM(Demand!$B11:'Demand'!X11)</f>
        <v>1149532.6489461833</v>
      </c>
      <c r="AA11" s="93">
        <f>'Stations Data'!$J$3+SUM(Production!$B2:'Production'!Y2)-SUM($D257:AA257)-SUM(Demand!$B11:'Demand'!Y11)</f>
        <v>1146579.044999999</v>
      </c>
    </row>
    <row r="12" spans="1:77" x14ac:dyDescent="0.35">
      <c r="A12" s="105"/>
      <c r="B12" s="105"/>
      <c r="C12" s="81" t="s">
        <v>53</v>
      </c>
      <c r="D12" s="93">
        <f t="shared" ref="D12:U12" si="2">D257</f>
        <v>17000</v>
      </c>
      <c r="E12" s="93">
        <f t="shared" si="2"/>
        <v>17000</v>
      </c>
      <c r="F12" s="93">
        <f t="shared" si="2"/>
        <v>17000</v>
      </c>
      <c r="G12" s="93">
        <f t="shared" si="2"/>
        <v>17000</v>
      </c>
      <c r="H12" s="93">
        <f t="shared" si="2"/>
        <v>17000</v>
      </c>
      <c r="I12" s="93">
        <f t="shared" si="2"/>
        <v>17000</v>
      </c>
      <c r="J12" s="93">
        <f t="shared" si="2"/>
        <v>17000</v>
      </c>
      <c r="K12" s="93">
        <f t="shared" si="2"/>
        <v>17000</v>
      </c>
      <c r="L12" s="93">
        <f t="shared" si="2"/>
        <v>17000</v>
      </c>
      <c r="M12" s="93">
        <f t="shared" si="2"/>
        <v>17000</v>
      </c>
      <c r="N12" s="93">
        <f t="shared" si="2"/>
        <v>17000</v>
      </c>
      <c r="O12" s="93">
        <f t="shared" si="2"/>
        <v>17000</v>
      </c>
      <c r="P12" s="93">
        <f t="shared" si="2"/>
        <v>17000</v>
      </c>
      <c r="Q12" s="93">
        <f t="shared" si="2"/>
        <v>12105.135</v>
      </c>
      <c r="R12" s="93">
        <f t="shared" si="2"/>
        <v>12105.135</v>
      </c>
      <c r="S12" s="93">
        <f t="shared" si="2"/>
        <v>12105.135</v>
      </c>
      <c r="T12" s="93">
        <f t="shared" si="2"/>
        <v>12000</v>
      </c>
      <c r="U12" s="93">
        <f t="shared" si="2"/>
        <v>12000</v>
      </c>
      <c r="V12" s="93">
        <f t="shared" ref="V12:AA12" si="3">V257</f>
        <v>12000</v>
      </c>
      <c r="W12" s="93">
        <f t="shared" si="3"/>
        <v>12000</v>
      </c>
      <c r="X12" s="93">
        <f t="shared" si="3"/>
        <v>12000</v>
      </c>
      <c r="Y12" s="93">
        <f t="shared" si="3"/>
        <v>12000</v>
      </c>
      <c r="Z12" s="93">
        <f t="shared" si="3"/>
        <v>17000</v>
      </c>
      <c r="AA12" s="93">
        <f t="shared" si="3"/>
        <v>17000</v>
      </c>
    </row>
    <row r="13" spans="1:77" x14ac:dyDescent="0.35">
      <c r="A13" s="105"/>
      <c r="B13" s="105"/>
      <c r="C13" s="79" t="s">
        <v>8</v>
      </c>
      <c r="D13" s="95">
        <f>SUM(D12:AA12)/4545</f>
        <v>79.937382838283838</v>
      </c>
      <c r="F13" s="93" t="s">
        <v>5</v>
      </c>
      <c r="I13" s="95">
        <f>D13*4545*'Stations Data'!B3</f>
        <v>282950.03741400002</v>
      </c>
      <c r="K13" s="93" t="s">
        <v>6</v>
      </c>
      <c r="M13" s="95">
        <v>36218.973673809254</v>
      </c>
      <c r="Q13" s="96" t="s">
        <v>28</v>
      </c>
      <c r="S13" s="93">
        <f>AA11-'Stations Data'!L3</f>
        <v>7420.2449999989476</v>
      </c>
      <c r="U13" s="93" t="s">
        <v>67</v>
      </c>
      <c r="Y13" s="93" t="s">
        <v>75</v>
      </c>
      <c r="AA13" s="95">
        <f>(SUM(D13*4545/24*D3,D13*4545/24*E3,D13*4545/24*F3,D13*4545/24*G3,D13*4545/24*H3,D13*4545/24*I3,D13*4545/24*J3,D13*4545/24*K3,D13*4545/24*L3,D13*4545/24*M3,D13*4545/24*N3,D13*4545/24*O3,D13*4545/24*P3,D13*4545/24*Q3,D13*4545/24*R3,D13*4545/24*S3,D13*4545/24*T3,D13*4545/24*U3,D13*4545/24*V3,D13*4545/24*W3,D13*4545/24*X3,D13*4545/24*Y3,D13*4545/24*Z3,D13*4545/24*AA3)-SUMPRODUCT(D12:AA12,D3:AA3))</f>
        <v>2122.560222346583</v>
      </c>
      <c r="AB13" s="17"/>
    </row>
    <row r="14" spans="1:77" s="45" customFormat="1" ht="15" customHeight="1" x14ac:dyDescent="0.35">
      <c r="A14" s="105" t="s">
        <v>175</v>
      </c>
      <c r="B14" s="105" t="s">
        <v>100</v>
      </c>
      <c r="C14" s="75" t="s">
        <v>32</v>
      </c>
      <c r="D14" s="92">
        <f>'Stations Data'!$B$5*Demand!B2</f>
        <v>7.0725484029484018E-2</v>
      </c>
      <c r="E14" s="92">
        <f>'Stations Data'!$B$5*Demand!C2</f>
        <v>7.0725484029484018E-2</v>
      </c>
      <c r="F14" s="92">
        <f>'Stations Data'!$B$5*Demand!D2</f>
        <v>7.0725484029484018E-2</v>
      </c>
      <c r="G14" s="92">
        <f>'Stations Data'!$B$5*Demand!E2</f>
        <v>7.0725484029484018E-2</v>
      </c>
      <c r="H14" s="92">
        <f>'Stations Data'!$B$5*Demand!F2</f>
        <v>7.0725484029484018E-2</v>
      </c>
      <c r="I14" s="92">
        <f>'Stations Data'!$B$5*Demand!G2</f>
        <v>7.0725484029484018E-2</v>
      </c>
      <c r="J14" s="92">
        <f>'Stations Data'!$B$5*Demand!H2</f>
        <v>7.0725484029484018E-2</v>
      </c>
      <c r="K14" s="92">
        <f>'Stations Data'!$B$5*Demand!I2</f>
        <v>7.0725484029484018E-2</v>
      </c>
      <c r="L14" s="92">
        <f>'Stations Data'!$B$5*Demand!J2</f>
        <v>7.0725484029484018E-2</v>
      </c>
      <c r="M14" s="92">
        <f>'Stations Data'!$B$5*Demand!K2</f>
        <v>7.0725484029484018E-2</v>
      </c>
      <c r="N14" s="92">
        <f>'Stations Data'!$B$5*Demand!L2</f>
        <v>7.0725484029484018E-2</v>
      </c>
      <c r="O14" s="92">
        <f>'Stations Data'!$B$5*Demand!M2</f>
        <v>7.0725484029484018E-2</v>
      </c>
      <c r="P14" s="92">
        <f>'Stations Data'!$B$5*Demand!N2</f>
        <v>7.0725484029484018E-2</v>
      </c>
      <c r="Q14" s="92">
        <f>'Stations Data'!$B$5*Demand!O2</f>
        <v>7.0725484029484018E-2</v>
      </c>
      <c r="R14" s="92">
        <f>'Stations Data'!$B$5*Demand!P2</f>
        <v>7.0725484029484018E-2</v>
      </c>
      <c r="S14" s="92">
        <f>'Stations Data'!$B$5*Demand!Q2</f>
        <v>7.0725484029484018E-2</v>
      </c>
      <c r="T14" s="92">
        <f>'Stations Data'!$B$5*Demand!R2</f>
        <v>7.0725484029484018E-2</v>
      </c>
      <c r="U14" s="92">
        <f>'Stations Data'!$B$5*Demand!S2</f>
        <v>7.0725484029484018E-2</v>
      </c>
      <c r="V14" s="92">
        <f>'Stations Data'!$B$5*Demand!T2</f>
        <v>7.0725484029484018E-2</v>
      </c>
      <c r="W14" s="92">
        <f>'Stations Data'!$B$5*Demand!U2</f>
        <v>7.0725484029484018E-2</v>
      </c>
      <c r="X14" s="92">
        <f>'Stations Data'!$B$5*Demand!V2</f>
        <v>7.0725484029484018E-2</v>
      </c>
      <c r="Y14" s="92">
        <f>'Stations Data'!$B$5*Demand!W2</f>
        <v>7.0725484029484018E-2</v>
      </c>
      <c r="Z14" s="92">
        <f>'Stations Data'!$B$5*Demand!X2</f>
        <v>7.0725484029484018E-2</v>
      </c>
      <c r="AA14" s="92">
        <f>'Stations Data'!$B$5*Demand!Y2</f>
        <v>7.0725484029484018E-2</v>
      </c>
    </row>
    <row r="15" spans="1:77" x14ac:dyDescent="0.35">
      <c r="A15" s="105"/>
      <c r="B15" s="105"/>
      <c r="C15" s="79" t="s">
        <v>45</v>
      </c>
      <c r="D15" s="93">
        <f>SUM($D12:D12)-SUM($D23:D23)-SUM($D33:D33)-SUM($D43:D43)-SUM($D44:D44)</f>
        <v>1190.8499999999995</v>
      </c>
      <c r="E15" s="93">
        <f>SUM($D12:E12)-SUM($D23:E23)-SUM($D33:E33)-SUM($D43:E43)-SUM($D44:E44)</f>
        <v>2381.6999999999989</v>
      </c>
      <c r="F15" s="93">
        <f>SUM($D12:F12)-SUM($D23:F23)-SUM($D33:F33)-SUM($D43:F43)-SUM($D44:F44)</f>
        <v>3572.5500000000029</v>
      </c>
      <c r="G15" s="93">
        <f>SUM($D12:G12)-SUM($D23:G23)-SUM($D33:G33)-SUM($D43:G43)-SUM($D44:G44)</f>
        <v>5413.3999999999978</v>
      </c>
      <c r="H15" s="93">
        <f>SUM($D12:H12)-SUM($D23:H23)-SUM($D33:H33)-SUM($D43:H43)-SUM($D44:H44)</f>
        <v>7254.25</v>
      </c>
      <c r="I15" s="93">
        <f>SUM($D12:I12)-SUM($D23:I23)-SUM($D33:I33)-SUM($D43:I43)-SUM($D44:I44)</f>
        <v>9095.1000000000022</v>
      </c>
      <c r="J15" s="93">
        <f>SUM($D12:J12)-SUM($D23:J23)-SUM($D33:J33)-SUM($D43:J43)-SUM($D44:J44)</f>
        <v>10935.950000000004</v>
      </c>
      <c r="K15" s="93">
        <f>SUM($D12:K12)-SUM($D23:K23)-SUM($D33:K33)-SUM($D43:K43)-SUM($D44:K44)</f>
        <v>13776.80000000001</v>
      </c>
      <c r="L15" s="93">
        <f>SUM($D12:L12)-SUM($D23:L23)-SUM($D33:L33)-SUM($D43:L43)-SUM($D44:L44)</f>
        <v>16046.864300000001</v>
      </c>
      <c r="M15" s="93">
        <f>SUM($D12:M12)-SUM($D23:M23)-SUM($D33:M33)-SUM($D43:M43)-SUM($D44:M44)</f>
        <v>18316.928600000007</v>
      </c>
      <c r="N15" s="93">
        <f>SUM($D12:N12)-SUM($D23:N23)-SUM($D33:N33)-SUM($D43:N43)-SUM($D44:N44)</f>
        <v>20586.992900000012</v>
      </c>
      <c r="O15" s="93">
        <f>SUM($D12:O12)-SUM($D23:O23)-SUM($D33:O33)-SUM($D43:O43)-SUM($D44:O44)</f>
        <v>22857.057200000003</v>
      </c>
      <c r="P15" s="93">
        <f>SUM($D12:P12)-SUM($D23:P23)-SUM($D33:P33)-SUM($D43:P43)-SUM($D44:P44)</f>
        <v>25127.121499999994</v>
      </c>
      <c r="Q15" s="93">
        <f>SUM($D12:Q12)-SUM($D23:Q23)-SUM($D33:Q33)-SUM($D43:Q43)-SUM($D44:Q44)</f>
        <v>26502.320770000006</v>
      </c>
      <c r="R15" s="93">
        <f>SUM($D12:R12)-SUM($D23:R23)-SUM($D33:R33)-SUM($D43:R43)-SUM($D44:R44)</f>
        <v>27877.520040000018</v>
      </c>
      <c r="S15" s="93">
        <f>SUM($D12:S12)-SUM($D23:S23)-SUM($D33:S33)-SUM($D43:S43)-SUM($D44:S44)</f>
        <v>29252.71931000003</v>
      </c>
      <c r="T15" s="93">
        <f>SUM($D12:T12)-SUM($D23:T23)-SUM($D33:T33)-SUM($D43:T43)-SUM($D44:T44)</f>
        <v>30522.783580000003</v>
      </c>
      <c r="U15" s="93">
        <f>SUM($D12:U12)-SUM($D23:U23)-SUM($D33:U33)-SUM($D43:U43)-SUM($D44:U44)</f>
        <v>31792.847850000035</v>
      </c>
      <c r="V15" s="93">
        <f>SUM($D12:V12)-SUM($D23:V23)-SUM($D33:V33)-SUM($D43:V43)-SUM($D44:V44)</f>
        <v>33062.912120000037</v>
      </c>
      <c r="W15" s="93">
        <f>SUM($D12:W12)-SUM($D23:W23)-SUM($D33:W33)-SUM($D43:W43)-SUM($D44:W44)</f>
        <v>34332.97639000004</v>
      </c>
      <c r="X15" s="93">
        <f>SUM($D12:X12)-SUM($D23:X23)-SUM($D33:X33)-SUM($D43:X43)-SUM($D44:X44)</f>
        <v>35603.040660000042</v>
      </c>
      <c r="Y15" s="93">
        <f>SUM($D12:Y12)-SUM($D23:Y23)-SUM($D33:Y33)-SUM($D43:Y43)-SUM($D44:Y44)</f>
        <v>36873.104930000045</v>
      </c>
      <c r="Z15" s="93">
        <f>SUM($D12:Z12)-SUM($D23:Z23)-SUM($D33:Z33)-SUM($D43:Z43)-SUM($D44:Z44)</f>
        <v>43063.954900000055</v>
      </c>
      <c r="AA15" s="93">
        <f>SUM($D12:AA12)-SUM($D23:AA23)-SUM($D33:AA33)-SUM($D43:AA43)-SUM($D44:AA44)</f>
        <v>49254.804870000065</v>
      </c>
    </row>
    <row r="16" spans="1:77" x14ac:dyDescent="0.35">
      <c r="A16" s="105"/>
      <c r="B16" s="105"/>
      <c r="C16" s="79" t="s">
        <v>46</v>
      </c>
      <c r="D16" s="93">
        <f>'Stations Data'!$H4-'Stations Data'!$J4+SUM(Demand!$B13:B13)</f>
        <v>-7317.9567791377622</v>
      </c>
      <c r="E16" s="93">
        <f>'Stations Data'!$H4-'Stations Data'!$J4+SUM(Demand!$B13:C13)</f>
        <v>-5544.3618566810737</v>
      </c>
      <c r="F16" s="93">
        <f>'Stations Data'!$H4-'Stations Data'!$J4+SUM(Demand!$B13:D13)</f>
        <v>-3773.8703374132856</v>
      </c>
      <c r="G16" s="93">
        <f>'Stations Data'!$H4-'Stations Data'!$J4+SUM(Demand!$B13:E13)</f>
        <v>-1998.7237133621475</v>
      </c>
      <c r="H16" s="93">
        <f>'Stations Data'!$H4-'Stations Data'!$J4+SUM(Demand!$B13:F13)</f>
        <v>-232.88729887771115</v>
      </c>
      <c r="I16" s="93">
        <f>'Stations Data'!$H4-'Stations Data'!$J4+SUM(Demand!$B13:G13)</f>
        <v>1531.3974140122755</v>
      </c>
      <c r="J16" s="93">
        <f>'Stations Data'!$H4-'Stations Data'!$J4+SUM(Demand!$B13:H13)</f>
        <v>3294.1304253078124</v>
      </c>
      <c r="K16" s="93">
        <f>'Stations Data'!$H4-'Stations Data'!$J4+SUM(Demand!$B13:I13)</f>
        <v>5070.8287509534021</v>
      </c>
      <c r="L16" s="93">
        <f>'Stations Data'!$H4-'Stations Data'!$J4+SUM(Demand!$B13:J13)</f>
        <v>6849.0787781934414</v>
      </c>
      <c r="M16" s="93">
        <f>'Stations Data'!$H4-'Stations Data'!$J4+SUM(Demand!$B13:K13)</f>
        <v>8628.8805070279304</v>
      </c>
      <c r="N16" s="93">
        <f>'Stations Data'!$H4-'Stations Data'!$J4+SUM(Demand!$B13:L13)</f>
        <v>10413.337340645772</v>
      </c>
      <c r="O16" s="93">
        <f>'Stations Data'!$H4-'Stations Data'!$J4+SUM(Demand!$B13:M13)</f>
        <v>12199.345875858064</v>
      </c>
      <c r="P16" s="93">
        <f>'Stations Data'!$H4-'Stations Data'!$J4+SUM(Demand!$B13:N13)</f>
        <v>14002.423128609309</v>
      </c>
      <c r="Q16" s="93">
        <f>'Stations Data'!$H4-'Stations Data'!$J4+SUM(Demand!$B13:O13)</f>
        <v>15791.5350670105</v>
      </c>
      <c r="R16" s="93">
        <f>'Stations Data'!$H4-'Stations Data'!$J4+SUM(Demand!$B13:P13)</f>
        <v>17566.68169106164</v>
      </c>
      <c r="S16" s="93">
        <f>'Stations Data'!$H4-'Stations Data'!$J4+SUM(Demand!$B13:Q13)</f>
        <v>19340.276613518326</v>
      </c>
      <c r="T16" s="93">
        <f>'Stations Data'!$H4-'Stations Data'!$J4+SUM(Demand!$B13:R13)</f>
        <v>21130.940253513967</v>
      </c>
      <c r="U16" s="93">
        <f>'Stations Data'!$H4-'Stations Data'!$J4+SUM(Demand!$B13:S13)</f>
        <v>22937.120909454112</v>
      </c>
      <c r="V16" s="93">
        <f>'Stations Data'!$H4-'Stations Data'!$J4+SUM(Demand!$B13:T13)</f>
        <v>24754.163476555412</v>
      </c>
      <c r="W16" s="93">
        <f>'Stations Data'!$H4-'Stations Data'!$J4+SUM(Demand!$B13:U13)</f>
        <v>26543.275414956603</v>
      </c>
      <c r="X16" s="93">
        <f>'Stations Data'!$H4-'Stations Data'!$J4+SUM(Demand!$B13:V13)</f>
        <v>28318.422039007739</v>
      </c>
      <c r="Y16" s="93">
        <f>'Stations Data'!$H4-'Stations Data'!$J4+SUM(Demand!$B13:W13)</f>
        <v>30093.568663058875</v>
      </c>
      <c r="Z16" s="93">
        <f>'Stations Data'!$H4-'Stations Data'!$J4+SUM(Demand!$B13:X13)</f>
        <v>31857.853375948864</v>
      </c>
      <c r="AA16" s="93">
        <f>'Stations Data'!$L4-'Stations Data'!$J4+SUM(Demand!$B13:Y13)</f>
        <v>42723</v>
      </c>
    </row>
    <row r="17" spans="1:27" x14ac:dyDescent="0.35">
      <c r="A17" s="105"/>
      <c r="B17" s="105"/>
      <c r="C17" s="79" t="s">
        <v>47</v>
      </c>
      <c r="D17" s="93">
        <f>'Stations Data'!$N4-'Stations Data'!$J4+SUM(Demand!$B13:B13)</f>
        <v>15407.043220862239</v>
      </c>
      <c r="E17" s="93">
        <f>'Stations Data'!$N4-'Stations Data'!$J4+SUM(Demand!$B13:C13)</f>
        <v>17180.638143318927</v>
      </c>
      <c r="F17" s="93">
        <f>'Stations Data'!$N4-'Stations Data'!$J4+SUM(Demand!$B13:D13)</f>
        <v>18951.129662586714</v>
      </c>
      <c r="G17" s="93">
        <f>'Stations Data'!$N4-'Stations Data'!$J4+SUM(Demand!$B13:E13)</f>
        <v>20726.276286637854</v>
      </c>
      <c r="H17" s="93">
        <f>'Stations Data'!$N4-'Stations Data'!$J4+SUM(Demand!$B13:F13)</f>
        <v>22492.112701122289</v>
      </c>
      <c r="I17" s="93">
        <f>'Stations Data'!$N4-'Stations Data'!$J4+SUM(Demand!$B13:G13)</f>
        <v>24256.397414012274</v>
      </c>
      <c r="J17" s="93">
        <f>'Stations Data'!$N4-'Stations Data'!$J4+SUM(Demand!$B13:H13)</f>
        <v>26019.130425307812</v>
      </c>
      <c r="K17" s="93">
        <f>'Stations Data'!$N4-'Stations Data'!$J4+SUM(Demand!$B13:I13)</f>
        <v>27795.828750953402</v>
      </c>
      <c r="L17" s="93">
        <f>'Stations Data'!$N4-'Stations Data'!$J4+SUM(Demand!$B13:J13)</f>
        <v>29574.078778193441</v>
      </c>
      <c r="M17" s="93">
        <f>'Stations Data'!$N4-'Stations Data'!$J4+SUM(Demand!$B13:K13)</f>
        <v>31353.88050702793</v>
      </c>
      <c r="N17" s="93">
        <f>'Stations Data'!$N4-'Stations Data'!$J4+SUM(Demand!$B13:L13)</f>
        <v>33138.337340645769</v>
      </c>
      <c r="O17" s="93">
        <f>'Stations Data'!$N4-'Stations Data'!$J4+SUM(Demand!$B13:M13)</f>
        <v>34924.345875858067</v>
      </c>
      <c r="P17" s="93">
        <f>'Stations Data'!$N4-'Stations Data'!$J4+SUM(Demand!$B13:N13)</f>
        <v>36727.423128609313</v>
      </c>
      <c r="Q17" s="93">
        <f>'Stations Data'!$N4-'Stations Data'!$J4+SUM(Demand!$B13:O13)</f>
        <v>38516.535067010496</v>
      </c>
      <c r="R17" s="93">
        <f>'Stations Data'!$N4-'Stations Data'!$J4+SUM(Demand!$B13:P13)</f>
        <v>40291.68169106164</v>
      </c>
      <c r="S17" s="93">
        <f>'Stations Data'!$N4-'Stations Data'!$J4+SUM(Demand!$B13:Q13)</f>
        <v>42065.276613518326</v>
      </c>
      <c r="T17" s="93">
        <f>'Stations Data'!$N4-'Stations Data'!$J4+SUM(Demand!$B13:R13)</f>
        <v>43855.940253513967</v>
      </c>
      <c r="U17" s="93">
        <f>'Stations Data'!$N4-'Stations Data'!$J4+SUM(Demand!$B13:S13)</f>
        <v>45662.120909454112</v>
      </c>
      <c r="V17" s="93">
        <f>'Stations Data'!$N4-'Stations Data'!$J4+SUM(Demand!$B13:T13)</f>
        <v>47479.163476555412</v>
      </c>
      <c r="W17" s="93">
        <f>'Stations Data'!$N4-'Stations Data'!$J4+SUM(Demand!$B13:U13)</f>
        <v>49268.275414956603</v>
      </c>
      <c r="X17" s="93">
        <f>'Stations Data'!$N4-'Stations Data'!$J4+SUM(Demand!$B13:V13)</f>
        <v>51043.422039007739</v>
      </c>
      <c r="Y17" s="93">
        <f>'Stations Data'!$N4-'Stations Data'!$J4+SUM(Demand!$B13:W13)</f>
        <v>52818.568663058875</v>
      </c>
      <c r="Z17" s="93">
        <f>'Stations Data'!$N4-'Stations Data'!$J4+SUM(Demand!$B13:X13)</f>
        <v>54582.853375948864</v>
      </c>
      <c r="AA17" s="93">
        <f>'Stations Data'!$N4-'Stations Data'!$J4+SUM(Demand!$B13:Y13)</f>
        <v>56358</v>
      </c>
    </row>
    <row r="18" spans="1:27" x14ac:dyDescent="0.35">
      <c r="A18" s="105"/>
      <c r="B18" s="105"/>
      <c r="C18" s="80" t="s">
        <v>54</v>
      </c>
    </row>
    <row r="19" spans="1:27" x14ac:dyDescent="0.35">
      <c r="A19" s="105"/>
      <c r="B19" s="105"/>
      <c r="C19" s="80" t="s">
        <v>50</v>
      </c>
      <c r="E19" s="93">
        <f>D23-E23</f>
        <v>0</v>
      </c>
      <c r="F19" s="93">
        <f t="shared" ref="F19:AA19" si="4">E23-F23</f>
        <v>0</v>
      </c>
      <c r="G19" s="93">
        <f t="shared" si="4"/>
        <v>0</v>
      </c>
      <c r="H19" s="93">
        <f t="shared" si="4"/>
        <v>0</v>
      </c>
      <c r="I19" s="93">
        <f t="shared" si="4"/>
        <v>0</v>
      </c>
      <c r="J19" s="93">
        <f t="shared" si="4"/>
        <v>0</v>
      </c>
      <c r="K19" s="93">
        <f t="shared" si="4"/>
        <v>1000</v>
      </c>
      <c r="L19" s="93">
        <f t="shared" si="4"/>
        <v>0</v>
      </c>
      <c r="M19" s="93">
        <f t="shared" si="4"/>
        <v>0</v>
      </c>
      <c r="N19" s="93">
        <f t="shared" si="4"/>
        <v>0</v>
      </c>
      <c r="O19" s="93">
        <f t="shared" si="4"/>
        <v>0</v>
      </c>
      <c r="P19" s="93">
        <f t="shared" si="4"/>
        <v>0</v>
      </c>
      <c r="Q19" s="93">
        <f t="shared" si="4"/>
        <v>0</v>
      </c>
      <c r="R19" s="93">
        <f t="shared" si="4"/>
        <v>0</v>
      </c>
      <c r="S19" s="93">
        <f t="shared" si="4"/>
        <v>0</v>
      </c>
      <c r="T19" s="93">
        <f t="shared" si="4"/>
        <v>0</v>
      </c>
      <c r="U19" s="93">
        <f t="shared" si="4"/>
        <v>0</v>
      </c>
      <c r="V19" s="93">
        <f t="shared" si="4"/>
        <v>0</v>
      </c>
      <c r="W19" s="93">
        <f t="shared" si="4"/>
        <v>0</v>
      </c>
      <c r="X19" s="93">
        <f t="shared" si="4"/>
        <v>0</v>
      </c>
      <c r="Y19" s="93">
        <f t="shared" si="4"/>
        <v>0</v>
      </c>
      <c r="Z19" s="93">
        <f t="shared" si="4"/>
        <v>0</v>
      </c>
      <c r="AA19" s="93">
        <f t="shared" si="4"/>
        <v>0</v>
      </c>
    </row>
    <row r="20" spans="1:27" x14ac:dyDescent="0.35">
      <c r="A20" s="105"/>
      <c r="B20" s="105"/>
      <c r="C20" s="80" t="s">
        <v>51</v>
      </c>
      <c r="E20" s="93">
        <f>-(D23-E23)</f>
        <v>0</v>
      </c>
      <c r="F20" s="93">
        <f t="shared" ref="F20:AA20" si="5">-(E23-F23)</f>
        <v>0</v>
      </c>
      <c r="G20" s="93">
        <f t="shared" si="5"/>
        <v>0</v>
      </c>
      <c r="H20" s="93">
        <f t="shared" si="5"/>
        <v>0</v>
      </c>
      <c r="I20" s="93">
        <f t="shared" si="5"/>
        <v>0</v>
      </c>
      <c r="J20" s="93">
        <f t="shared" si="5"/>
        <v>0</v>
      </c>
      <c r="K20" s="93">
        <f t="shared" si="5"/>
        <v>-1000</v>
      </c>
      <c r="L20" s="93">
        <f t="shared" si="5"/>
        <v>0</v>
      </c>
      <c r="M20" s="93">
        <f t="shared" si="5"/>
        <v>0</v>
      </c>
      <c r="N20" s="93">
        <f t="shared" si="5"/>
        <v>0</v>
      </c>
      <c r="O20" s="93">
        <f t="shared" si="5"/>
        <v>0</v>
      </c>
      <c r="P20" s="93">
        <f t="shared" si="5"/>
        <v>0</v>
      </c>
      <c r="Q20" s="93">
        <f t="shared" si="5"/>
        <v>0</v>
      </c>
      <c r="R20" s="93">
        <f t="shared" si="5"/>
        <v>0</v>
      </c>
      <c r="S20" s="93">
        <f t="shared" si="5"/>
        <v>0</v>
      </c>
      <c r="T20" s="93">
        <f t="shared" si="5"/>
        <v>0</v>
      </c>
      <c r="U20" s="93">
        <f t="shared" si="5"/>
        <v>0</v>
      </c>
      <c r="V20" s="93">
        <f t="shared" si="5"/>
        <v>0</v>
      </c>
      <c r="W20" s="93">
        <f t="shared" si="5"/>
        <v>0</v>
      </c>
      <c r="X20" s="93">
        <f t="shared" si="5"/>
        <v>0</v>
      </c>
      <c r="Y20" s="93">
        <f t="shared" si="5"/>
        <v>0</v>
      </c>
      <c r="Z20" s="93">
        <f t="shared" si="5"/>
        <v>0</v>
      </c>
      <c r="AA20" s="93">
        <f t="shared" si="5"/>
        <v>0</v>
      </c>
    </row>
    <row r="21" spans="1:27" x14ac:dyDescent="0.35">
      <c r="A21" s="105"/>
      <c r="B21" s="105"/>
      <c r="C21" s="80" t="s">
        <v>52</v>
      </c>
      <c r="D21" s="93">
        <v>1000</v>
      </c>
      <c r="G21" s="93" t="s">
        <v>44</v>
      </c>
      <c r="I21" s="93">
        <f>SUM(E258:AA258)</f>
        <v>1000</v>
      </c>
    </row>
    <row r="22" spans="1:27" x14ac:dyDescent="0.35">
      <c r="A22" s="105"/>
      <c r="B22" s="105"/>
      <c r="C22" s="79" t="s">
        <v>48</v>
      </c>
      <c r="D22" s="93">
        <f>'Stations Data'!$J$4+SUM($D257:D257)-SUM($D259:D259)-SUM($D261:D261)-SUM($D263:D263)-SUM($D264:D264)-SUM(Demand!$B13:B13)</f>
        <v>26688.806779137765</v>
      </c>
      <c r="E22" s="93">
        <f>'Stations Data'!$J$4+SUM($D257:E257)-SUM($D259:E259)-SUM($D261:E261)-SUM($D263:E263)-SUM($D264:E264)-SUM(Demand!$B13:C13)</f>
        <v>26106.06185668107</v>
      </c>
      <c r="F22" s="93">
        <f>'Stations Data'!$J$4+SUM($D257:F257)-SUM($D259:F259)-SUM($D261:F261)-SUM($D263:F263)-SUM($D264:F264)-SUM(Demand!$B13:D13)</f>
        <v>25526.420337413289</v>
      </c>
      <c r="G22" s="93">
        <f>'Stations Data'!$J$4+SUM($D257:G257)-SUM($D259:G259)-SUM($D261:G261)-SUM($D263:G263)-SUM($D264:G264)-SUM(Demand!$B13:E13)</f>
        <v>25592.123713362147</v>
      </c>
      <c r="H22" s="93">
        <f>'Stations Data'!$J$4+SUM($D257:H257)-SUM($D259:H259)-SUM($D261:H261)-SUM($D263:H263)-SUM($D264:H264)-SUM(Demand!$B13:F13)</f>
        <v>25667.137298877704</v>
      </c>
      <c r="I22" s="93">
        <f>'Stations Data'!$J$4+SUM($D257:I257)-SUM($D259:I259)-SUM($D261:I261)-SUM($D263:I263)-SUM($D264:I264)-SUM(Demand!$B13:G13)</f>
        <v>25743.702585987732</v>
      </c>
      <c r="J22" s="93">
        <f>'Stations Data'!$J$4+SUM($D257:J257)-SUM($D259:J259)-SUM($D261:J261)-SUM($D263:J263)-SUM($D264:J264)-SUM(Demand!$B13:H13)</f>
        <v>25821.819574692199</v>
      </c>
      <c r="K22" s="93">
        <f>'Stations Data'!$J$4+SUM($D257:K257)-SUM($D259:K259)-SUM($D261:K261)-SUM($D263:K263)-SUM($D264:K264)-SUM(Demand!$B13:I13)</f>
        <v>26885.971249046608</v>
      </c>
      <c r="L22" s="93">
        <f>'Stations Data'!$J$4+SUM($D257:L257)-SUM($D259:L259)-SUM($D261:L261)-SUM($D263:L263)-SUM($D264:L264)-SUM(Demand!$B13:J13)</f>
        <v>27377.78552180656</v>
      </c>
      <c r="M22" s="93">
        <f>'Stations Data'!$J$4+SUM($D257:M257)-SUM($D259:M259)-SUM($D261:M261)-SUM($D263:M263)-SUM($D264:M264)-SUM(Demand!$B13:K13)</f>
        <v>27868.048092972076</v>
      </c>
      <c r="N22" s="93">
        <f>'Stations Data'!$J$4+SUM($D257:N257)-SUM($D259:N259)-SUM($D261:N261)-SUM($D263:N263)-SUM($D264:N264)-SUM(Demand!$B13:L13)</f>
        <v>28353.65555935424</v>
      </c>
      <c r="O22" s="93">
        <f>'Stations Data'!$J$4+SUM($D257:O257)-SUM($D259:O259)-SUM($D261:O261)-SUM($D263:O263)-SUM($D264:O264)-SUM(Demand!$B13:M13)</f>
        <v>28837.711324141954</v>
      </c>
      <c r="P22" s="93">
        <f>'Stations Data'!$J$4+SUM($D257:P257)-SUM($D259:P259)-SUM($D261:P261)-SUM($D263:P263)-SUM($D264:P264)-SUM(Demand!$B13:N13)</f>
        <v>29304.698371390685</v>
      </c>
      <c r="Q22" s="93">
        <f>'Stations Data'!$J$4+SUM($D257:Q257)-SUM($D259:Q259)-SUM($D261:Q261)-SUM($D263:Q263)-SUM($D264:Q264)-SUM(Demand!$B13:O13)</f>
        <v>28890.785702989506</v>
      </c>
      <c r="R22" s="93">
        <f>'Stations Data'!$J$4+SUM($D257:R257)-SUM($D259:R259)-SUM($D261:R261)-SUM($D263:R263)-SUM($D264:R264)-SUM(Demand!$B13:P13)</f>
        <v>28490.838348938378</v>
      </c>
      <c r="S22" s="93">
        <f>'Stations Data'!$J$4+SUM($D257:S257)-SUM($D259:S259)-SUM($D261:S261)-SUM($D263:S263)-SUM($D264:S264)-SUM(Demand!$B13:Q13)</f>
        <v>28092.442696481703</v>
      </c>
      <c r="T22" s="93">
        <f>'Stations Data'!$J$4+SUM($D257:T257)-SUM($D259:T259)-SUM($D261:T261)-SUM($D263:T263)-SUM($D264:T264)-SUM(Demand!$B13:R13)</f>
        <v>27571.843326486036</v>
      </c>
      <c r="U22" s="93">
        <f>'Stations Data'!$J$4+SUM($D257:U257)-SUM($D259:U259)-SUM($D261:U261)-SUM($D263:U263)-SUM($D264:U264)-SUM(Demand!$B13:S13)</f>
        <v>27035.726940545923</v>
      </c>
      <c r="V22" s="93">
        <f>'Stations Data'!$J$4+SUM($D257:V257)-SUM($D259:V259)-SUM($D261:V261)-SUM($D263:V263)-SUM($D264:V264)-SUM(Demand!$B13:T13)</f>
        <v>26488.748643444625</v>
      </c>
      <c r="W22" s="93">
        <f>'Stations Data'!$J$4+SUM($D257:W257)-SUM($D259:W259)-SUM($D261:W261)-SUM($D263:W263)-SUM($D264:W264)-SUM(Demand!$B13:U13)</f>
        <v>25969.700975043437</v>
      </c>
      <c r="X22" s="93">
        <f>'Stations Data'!$J$4+SUM($D257:X257)-SUM($D259:X259)-SUM($D261:X261)-SUM($D263:X263)-SUM($D264:X264)-SUM(Demand!$B13:V13)</f>
        <v>25464.618620992303</v>
      </c>
      <c r="Y22" s="93">
        <f>'Stations Data'!$J$4+SUM($D257:Y257)-SUM($D259:Y259)-SUM($D261:Y261)-SUM($D263:Y263)-SUM($D264:Y264)-SUM(Demand!$B13:W13)</f>
        <v>24959.53626694117</v>
      </c>
      <c r="Z22" s="93">
        <f>'Stations Data'!$J$4+SUM($D257:Z257)-SUM($D259:Z259)-SUM($D261:Z261)-SUM($D263:Z263)-SUM($D264:Z264)-SUM(Demand!$B13:X13)</f>
        <v>29386.101524051192</v>
      </c>
      <c r="AA22" s="93">
        <f>'Stations Data'!$J$4+SUM($D257:AA257)-SUM($D259:AA259)-SUM($D261:AA261)-SUM($D263:AA263)-SUM($D264:AA264)-SUM(Demand!$B13:Y13)</f>
        <v>33801.804870000065</v>
      </c>
    </row>
    <row r="23" spans="1:27" x14ac:dyDescent="0.35">
      <c r="A23" s="105"/>
      <c r="B23" s="105"/>
      <c r="C23" s="82" t="s">
        <v>53</v>
      </c>
      <c r="D23" s="93">
        <f t="shared" ref="D23:U23" si="6">D259</f>
        <v>7900.8416999999999</v>
      </c>
      <c r="E23" s="93">
        <f t="shared" si="6"/>
        <v>7900.8416999999999</v>
      </c>
      <c r="F23" s="93">
        <f t="shared" si="6"/>
        <v>7900.8416999999999</v>
      </c>
      <c r="G23" s="93">
        <f t="shared" si="6"/>
        <v>7900.8416999999999</v>
      </c>
      <c r="H23" s="93">
        <f t="shared" si="6"/>
        <v>7900.8416999999999</v>
      </c>
      <c r="I23" s="93">
        <f t="shared" si="6"/>
        <v>7900.8416999999999</v>
      </c>
      <c r="J23" s="93">
        <f t="shared" si="6"/>
        <v>7900.8416999999999</v>
      </c>
      <c r="K23" s="93">
        <f t="shared" si="6"/>
        <v>6900.8416999999999</v>
      </c>
      <c r="L23" s="93">
        <f t="shared" si="6"/>
        <v>6900.8416999999999</v>
      </c>
      <c r="M23" s="93">
        <f t="shared" si="6"/>
        <v>6900.8416999999999</v>
      </c>
      <c r="N23" s="93">
        <f t="shared" si="6"/>
        <v>6900.8416999999999</v>
      </c>
      <c r="O23" s="93">
        <f t="shared" si="6"/>
        <v>6900.8416999999999</v>
      </c>
      <c r="P23" s="93">
        <f t="shared" si="6"/>
        <v>6900.8416999999999</v>
      </c>
      <c r="Q23" s="93">
        <f t="shared" si="6"/>
        <v>6900.8416999999999</v>
      </c>
      <c r="R23" s="93">
        <f t="shared" si="6"/>
        <v>6900.8416999999999</v>
      </c>
      <c r="S23" s="93">
        <f t="shared" si="6"/>
        <v>6900.8416999999999</v>
      </c>
      <c r="T23" s="93">
        <f t="shared" si="6"/>
        <v>6900.8416999999999</v>
      </c>
      <c r="U23" s="93">
        <f t="shared" si="6"/>
        <v>6900.8416999999999</v>
      </c>
      <c r="V23" s="93">
        <f t="shared" ref="V23:AA23" si="7">V259</f>
        <v>6900.8416999999999</v>
      </c>
      <c r="W23" s="93">
        <f t="shared" si="7"/>
        <v>6900.8416999999999</v>
      </c>
      <c r="X23" s="93">
        <f t="shared" si="7"/>
        <v>6900.8416999999999</v>
      </c>
      <c r="Y23" s="93">
        <f t="shared" si="7"/>
        <v>6900.8416999999999</v>
      </c>
      <c r="Z23" s="93">
        <f t="shared" si="7"/>
        <v>6900.8416999999999</v>
      </c>
      <c r="AA23" s="93">
        <f t="shared" si="7"/>
        <v>6900.8416999999999</v>
      </c>
    </row>
    <row r="24" spans="1:27" x14ac:dyDescent="0.35">
      <c r="A24" s="105"/>
      <c r="B24" s="105"/>
      <c r="C24" s="79" t="s">
        <v>8</v>
      </c>
      <c r="D24" s="95">
        <f>SUM(D23:AA23)/4545</f>
        <v>37.980242200220012</v>
      </c>
      <c r="F24" s="93" t="s">
        <v>5</v>
      </c>
      <c r="I24" s="95">
        <f>'Stations Data'!B5*SUM(D259:AA259)+'Stations Data'!B6*SUM(Demand!B13:Y13)</f>
        <v>65526.457730793809</v>
      </c>
      <c r="K24" s="93" t="s">
        <v>6</v>
      </c>
      <c r="M24" s="95">
        <f>SUMPRODUCT(D14:AA14,D259:AA259)+'Stations Data'!B6*Demand!B2*SUM(Demand!B13:Y13)</f>
        <v>13105.291546158767</v>
      </c>
      <c r="Q24" s="96" t="s">
        <v>28</v>
      </c>
      <c r="S24" s="93">
        <f>AA22-'Stations Data'!L4</f>
        <v>6531.8048700000654</v>
      </c>
      <c r="W24" s="93" t="s">
        <v>67</v>
      </c>
    </row>
    <row r="25" spans="1:27" s="45" customFormat="1" x14ac:dyDescent="0.35">
      <c r="A25" s="105"/>
      <c r="B25" s="105" t="s">
        <v>173</v>
      </c>
      <c r="C25" s="78" t="s">
        <v>32</v>
      </c>
      <c r="D25" s="92">
        <f>'Stations Data'!$B$7*Demand!B2</f>
        <v>3.267125307125307E-3</v>
      </c>
      <c r="E25" s="92">
        <f>'Stations Data'!$B$7*Demand!C2</f>
        <v>3.267125307125307E-3</v>
      </c>
      <c r="F25" s="92">
        <f>'Stations Data'!$B$7*Demand!D2</f>
        <v>3.267125307125307E-3</v>
      </c>
      <c r="G25" s="92">
        <f>'Stations Data'!$B$7*Demand!E2</f>
        <v>3.267125307125307E-3</v>
      </c>
      <c r="H25" s="92">
        <f>'Stations Data'!$B$7*Demand!F2</f>
        <v>3.267125307125307E-3</v>
      </c>
      <c r="I25" s="92">
        <f>'Stations Data'!$B$7*Demand!G2</f>
        <v>3.267125307125307E-3</v>
      </c>
      <c r="J25" s="92">
        <f>'Stations Data'!$B$7*Demand!H2</f>
        <v>3.267125307125307E-3</v>
      </c>
      <c r="K25" s="92">
        <f>'Stations Data'!$B$7*Demand!I2</f>
        <v>3.267125307125307E-3</v>
      </c>
      <c r="L25" s="92">
        <f>'Stations Data'!$B$7*Demand!J2</f>
        <v>3.267125307125307E-3</v>
      </c>
      <c r="M25" s="92">
        <f>'Stations Data'!$B$7*Demand!K2</f>
        <v>3.267125307125307E-3</v>
      </c>
      <c r="N25" s="92">
        <f>'Stations Data'!$B$7*Demand!L2</f>
        <v>3.267125307125307E-3</v>
      </c>
      <c r="O25" s="92">
        <f>'Stations Data'!$B$7*Demand!M2</f>
        <v>3.267125307125307E-3</v>
      </c>
      <c r="P25" s="92">
        <f>'Stations Data'!$B$7*Demand!N2</f>
        <v>3.267125307125307E-3</v>
      </c>
      <c r="Q25" s="92">
        <f>'Stations Data'!$B$7*Demand!O2</f>
        <v>3.267125307125307E-3</v>
      </c>
      <c r="R25" s="92">
        <f>'Stations Data'!$B$7*Demand!P2</f>
        <v>3.267125307125307E-3</v>
      </c>
      <c r="S25" s="92">
        <f>'Stations Data'!$B$7*Demand!Q2</f>
        <v>3.267125307125307E-3</v>
      </c>
      <c r="T25" s="92">
        <f>'Stations Data'!$B$7*Demand!R2</f>
        <v>3.267125307125307E-3</v>
      </c>
      <c r="U25" s="92">
        <f>'Stations Data'!$B$7*Demand!S2</f>
        <v>3.267125307125307E-3</v>
      </c>
      <c r="V25" s="92">
        <f>'Stations Data'!$B$7*Demand!T2</f>
        <v>3.267125307125307E-3</v>
      </c>
      <c r="W25" s="92">
        <f>'Stations Data'!$B$7*Demand!U2</f>
        <v>3.267125307125307E-3</v>
      </c>
      <c r="X25" s="92">
        <f>'Stations Data'!$B$7*Demand!V2</f>
        <v>3.267125307125307E-3</v>
      </c>
      <c r="Y25" s="92">
        <f>'Stations Data'!$B$7*Demand!W2</f>
        <v>3.267125307125307E-3</v>
      </c>
      <c r="Z25" s="92">
        <f>'Stations Data'!$B$7*Demand!X2</f>
        <v>3.267125307125307E-3</v>
      </c>
      <c r="AA25" s="92">
        <f>'Stations Data'!$B$7*Demand!Y2</f>
        <v>3.267125307125307E-3</v>
      </c>
    </row>
    <row r="26" spans="1:27" x14ac:dyDescent="0.35">
      <c r="A26" s="105"/>
      <c r="B26" s="105"/>
      <c r="C26" s="79" t="s">
        <v>45</v>
      </c>
      <c r="D26" s="95">
        <f>SUM($D33:D33)</f>
        <v>1280</v>
      </c>
      <c r="E26" s="95">
        <f>SUM($D33:E33)</f>
        <v>2560</v>
      </c>
      <c r="F26" s="95">
        <f>SUM($D33:F33)</f>
        <v>3840</v>
      </c>
      <c r="G26" s="95">
        <f>SUM($D33:G33)</f>
        <v>4470</v>
      </c>
      <c r="H26" s="95">
        <f>SUM($D33:H33)</f>
        <v>5100</v>
      </c>
      <c r="I26" s="95">
        <f>SUM($D33:I33)</f>
        <v>5730</v>
      </c>
      <c r="J26" s="95">
        <f>SUM($D33:J33)</f>
        <v>6360</v>
      </c>
      <c r="K26" s="95">
        <f>SUM($D33:K33)</f>
        <v>6990</v>
      </c>
      <c r="L26" s="95">
        <f>SUM($D33:L33)</f>
        <v>8190.7857000000004</v>
      </c>
      <c r="M26" s="95">
        <f>SUM($D33:M33)</f>
        <v>9391.5714000000007</v>
      </c>
      <c r="N26" s="95">
        <f>SUM($D33:N33)</f>
        <v>10592.357100000001</v>
      </c>
      <c r="O26" s="95">
        <f>SUM($D33:O33)</f>
        <v>11793.142800000001</v>
      </c>
      <c r="P26" s="95">
        <f>SUM($D33:P33)</f>
        <v>12993.928500000002</v>
      </c>
      <c r="Q26" s="95">
        <f>SUM($D33:Q33)</f>
        <v>14194.714200000002</v>
      </c>
      <c r="R26" s="95">
        <f>SUM($D33:R33)</f>
        <v>15395.499900000003</v>
      </c>
      <c r="S26" s="95">
        <f>SUM($D33:S33)</f>
        <v>16596.285600000003</v>
      </c>
      <c r="T26" s="95">
        <f>SUM($D33:T33)</f>
        <v>17797.071300000003</v>
      </c>
      <c r="U26" s="95">
        <f>SUM($D33:U33)</f>
        <v>18997.857000000004</v>
      </c>
      <c r="V26" s="95">
        <f>SUM($D33:V33)</f>
        <v>20198.642700000004</v>
      </c>
      <c r="W26" s="95">
        <f>SUM($D33:W33)</f>
        <v>21399.428400000004</v>
      </c>
      <c r="X26" s="95">
        <f>SUM($D33:X33)</f>
        <v>22600.214100000005</v>
      </c>
      <c r="Y26" s="95">
        <f>SUM($D33:Y33)</f>
        <v>23800.999800000005</v>
      </c>
      <c r="Z26" s="95">
        <f>SUM($D33:Z33)</f>
        <v>25080.999800000005</v>
      </c>
      <c r="AA26" s="95">
        <f>SUM($D33:AA33)</f>
        <v>26360.999800000005</v>
      </c>
    </row>
    <row r="27" spans="1:27" x14ac:dyDescent="0.35">
      <c r="A27" s="105"/>
      <c r="B27" s="105"/>
      <c r="C27" s="79" t="s">
        <v>46</v>
      </c>
      <c r="D27" s="95">
        <f>'Stations Data'!$H7-'Stations Data'!$J7+SUM(Demand!$B$12:B12)</f>
        <v>-3624.0761232570144</v>
      </c>
      <c r="E27" s="95">
        <f>'Stations Data'!$H7-'Stations Data'!$J7+SUM(Demand!$B$12:C12)</f>
        <v>-2521.3522465140295</v>
      </c>
      <c r="F27" s="95">
        <f>'Stations Data'!$H7-'Stations Data'!$J7+SUM(Demand!$B$12:D12)</f>
        <v>-1418.6283697710446</v>
      </c>
      <c r="G27" s="95">
        <f>'Stations Data'!$H7-'Stations Data'!$J7+SUM(Demand!$B$12:E12)</f>
        <v>-317.03898261318591</v>
      </c>
      <c r="H27" s="95">
        <f>'Stations Data'!$H7-'Stations Data'!$J7+SUM(Demand!$B$12:F12)</f>
        <v>784.55040454467235</v>
      </c>
      <c r="I27" s="95">
        <f>'Stations Data'!$H7-'Stations Data'!$J7+SUM(Demand!$B$12:G12)</f>
        <v>1886.1397917025306</v>
      </c>
      <c r="J27" s="95">
        <f>'Stations Data'!$H7-'Stations Data'!$J7+SUM(Demand!$B$12:H12)</f>
        <v>2987.7291788603889</v>
      </c>
      <c r="K27" s="95">
        <f>'Stations Data'!$H7-'Stations Data'!$J7+SUM(Demand!$B$12:I12)</f>
        <v>4088.1840764331209</v>
      </c>
      <c r="L27" s="95">
        <f>'Stations Data'!$H7-'Stations Data'!$J7+SUM(Demand!$B$12:J12)</f>
        <v>5187.5044844207259</v>
      </c>
      <c r="M27" s="95">
        <f>'Stations Data'!$H7-'Stations Data'!$J7+SUM(Demand!$B$12:K12)</f>
        <v>6286.8248924083309</v>
      </c>
      <c r="N27" s="95">
        <f>'Stations Data'!$H7-'Stations Data'!$J7+SUM(Demand!$B$12:L12)</f>
        <v>7386.1453003959359</v>
      </c>
      <c r="O27" s="95">
        <f>'Stations Data'!$H7-'Stations Data'!$J7+SUM(Demand!$B$12:M12)</f>
        <v>8484.3312187984156</v>
      </c>
      <c r="P27" s="95">
        <f>'Stations Data'!$H7-'Stations Data'!$J7+SUM(Demand!$B$12:N12)</f>
        <v>9581.3826476157683</v>
      </c>
      <c r="Q27" s="95">
        <f>'Stations Data'!$H7-'Stations Data'!$J7+SUM(Demand!$B$12:O12)</f>
        <v>10679.568566018246</v>
      </c>
      <c r="R27" s="95">
        <f>'Stations Data'!$H7-'Stations Data'!$J7+SUM(Demand!$B$12:P12)</f>
        <v>11775.485505250472</v>
      </c>
      <c r="S27" s="95">
        <f>'Stations Data'!$H7-'Stations Data'!$J7+SUM(Demand!$B$12:Q12)</f>
        <v>12871.402444482697</v>
      </c>
      <c r="T27" s="95">
        <f>'Stations Data'!$H7-'Stations Data'!$J7+SUM(Demand!$B$12:R12)</f>
        <v>13966.184894129798</v>
      </c>
      <c r="U27" s="95">
        <f>'Stations Data'!$H7-'Stations Data'!$J7+SUM(Demand!$B$12:S12)</f>
        <v>15060.967343776898</v>
      </c>
      <c r="V27" s="95">
        <f>'Stations Data'!$H7-'Stations Data'!$J7+SUM(Demand!$B$12:T12)</f>
        <v>16155.749793423998</v>
      </c>
      <c r="W27" s="95">
        <f>'Stations Data'!$H7-'Stations Data'!$J7+SUM(Demand!$B$12:U12)</f>
        <v>17250.532243071098</v>
      </c>
      <c r="X27" s="95">
        <f>'Stations Data'!$H7-'Stations Data'!$J7+SUM(Demand!$B$12:V12)</f>
        <v>18346.449182303324</v>
      </c>
      <c r="Y27" s="95">
        <f>'Stations Data'!$H7-'Stations Data'!$J7+SUM(Demand!$B$12:W12)</f>
        <v>19442.36612153555</v>
      </c>
      <c r="Z27" s="95">
        <f>'Stations Data'!$H7-'Stations Data'!$J7+SUM(Demand!$B$12:X12)</f>
        <v>20538.283060767775</v>
      </c>
      <c r="AA27" s="95">
        <f>'Stations Data'!$L7-'Stations Data'!$J7+SUM(Demand!$B$12:Y12)</f>
        <v>26361</v>
      </c>
    </row>
    <row r="28" spans="1:27" x14ac:dyDescent="0.35">
      <c r="A28" s="105"/>
      <c r="B28" s="105"/>
      <c r="C28" s="79" t="s">
        <v>47</v>
      </c>
      <c r="D28" s="95">
        <f>'Stations Data'!$N7-'Stations Data'!$J7+SUM(Demand!$B$12:B12)</f>
        <v>8192.923876742987</v>
      </c>
      <c r="E28" s="95">
        <f>'Stations Data'!$N7-'Stations Data'!$J7+SUM(Demand!$B$12:C12)</f>
        <v>9295.6477534859732</v>
      </c>
      <c r="F28" s="95">
        <f>'Stations Data'!$N7-'Stations Data'!$J7+SUM(Demand!$B$12:D12)</f>
        <v>10398.371630228958</v>
      </c>
      <c r="G28" s="95">
        <f>'Stations Data'!$N7-'Stations Data'!$J7+SUM(Demand!$B$12:E12)</f>
        <v>11499.961017386817</v>
      </c>
      <c r="H28" s="95">
        <f>'Stations Data'!$N7-'Stations Data'!$J7+SUM(Demand!$B$12:F12)</f>
        <v>12601.550404544674</v>
      </c>
      <c r="I28" s="95">
        <f>'Stations Data'!$N7-'Stations Data'!$J7+SUM(Demand!$B$12:G12)</f>
        <v>13703.139791702532</v>
      </c>
      <c r="J28" s="95">
        <f>'Stations Data'!$N7-'Stations Data'!$J7+SUM(Demand!$B$12:H12)</f>
        <v>14804.729178860391</v>
      </c>
      <c r="K28" s="95">
        <f>'Stations Data'!$N7-'Stations Data'!$J7+SUM(Demand!$B$12:I12)</f>
        <v>15905.184076433123</v>
      </c>
      <c r="L28" s="95">
        <f>'Stations Data'!$N7-'Stations Data'!$J7+SUM(Demand!$B$12:J12)</f>
        <v>17004.50448442073</v>
      </c>
      <c r="M28" s="95">
        <f>'Stations Data'!$N7-'Stations Data'!$J7+SUM(Demand!$B$12:K12)</f>
        <v>18103.824892408331</v>
      </c>
      <c r="N28" s="95">
        <f>'Stations Data'!$N7-'Stations Data'!$J7+SUM(Demand!$B$12:L12)</f>
        <v>19203.14530039594</v>
      </c>
      <c r="O28" s="95">
        <f>'Stations Data'!$N7-'Stations Data'!$J7+SUM(Demand!$B$12:M12)</f>
        <v>20301.331218798419</v>
      </c>
      <c r="P28" s="95">
        <f>'Stations Data'!$N7-'Stations Data'!$J7+SUM(Demand!$B$12:N12)</f>
        <v>21398.38264761577</v>
      </c>
      <c r="Q28" s="95">
        <f>'Stations Data'!$N7-'Stations Data'!$J7+SUM(Demand!$B$12:O12)</f>
        <v>22496.56856601825</v>
      </c>
      <c r="R28" s="95">
        <f>'Stations Data'!$N7-'Stations Data'!$J7+SUM(Demand!$B$12:P12)</f>
        <v>23592.485505250472</v>
      </c>
      <c r="S28" s="95">
        <f>'Stations Data'!$N7-'Stations Data'!$J7+SUM(Demand!$B$12:Q12)</f>
        <v>24688.402444482701</v>
      </c>
      <c r="T28" s="95">
        <f>'Stations Data'!$N7-'Stations Data'!$J7+SUM(Demand!$B$12:R12)</f>
        <v>25783.184894129801</v>
      </c>
      <c r="U28" s="95">
        <f>'Stations Data'!$N7-'Stations Data'!$J7+SUM(Demand!$B$12:S12)</f>
        <v>26877.967343776902</v>
      </c>
      <c r="V28" s="95">
        <f>'Stations Data'!$N7-'Stations Data'!$J7+SUM(Demand!$B$12:T12)</f>
        <v>27972.749793424002</v>
      </c>
      <c r="W28" s="95">
        <f>'Stations Data'!$N7-'Stations Data'!$J7+SUM(Demand!$B$12:U12)</f>
        <v>29067.532243071102</v>
      </c>
      <c r="X28" s="95">
        <f>'Stations Data'!$N7-'Stations Data'!$J7+SUM(Demand!$B$12:V12)</f>
        <v>30163.449182303324</v>
      </c>
      <c r="Y28" s="95">
        <f>'Stations Data'!$N7-'Stations Data'!$J7+SUM(Demand!$B$12:W12)</f>
        <v>31259.366121535553</v>
      </c>
      <c r="Z28" s="95">
        <f>'Stations Data'!$N7-'Stations Data'!$J7+SUM(Demand!$B$12:X12)</f>
        <v>32355.283060767775</v>
      </c>
      <c r="AA28" s="95">
        <f>'Stations Data'!$N7-'Stations Data'!$J7+SUM(Demand!$B$12:Y12)</f>
        <v>33451.200000000004</v>
      </c>
    </row>
    <row r="29" spans="1:27" x14ac:dyDescent="0.35">
      <c r="A29" s="105"/>
      <c r="B29" s="105"/>
      <c r="C29" s="80" t="s">
        <v>54</v>
      </c>
      <c r="D29" s="95"/>
    </row>
    <row r="30" spans="1:27" x14ac:dyDescent="0.35">
      <c r="A30" s="105"/>
      <c r="B30" s="105"/>
      <c r="C30" s="80" t="s">
        <v>50</v>
      </c>
      <c r="E30" s="93">
        <f t="shared" ref="E30:V30" si="8">D261-E261</f>
        <v>0</v>
      </c>
      <c r="F30" s="93">
        <f t="shared" si="8"/>
        <v>0</v>
      </c>
      <c r="G30" s="93">
        <f t="shared" si="8"/>
        <v>650</v>
      </c>
      <c r="H30" s="93">
        <f t="shared" si="8"/>
        <v>0</v>
      </c>
      <c r="I30" s="93">
        <f t="shared" si="8"/>
        <v>0</v>
      </c>
      <c r="J30" s="93">
        <f t="shared" si="8"/>
        <v>0</v>
      </c>
      <c r="K30" s="93">
        <f t="shared" si="8"/>
        <v>0</v>
      </c>
      <c r="L30" s="93">
        <f t="shared" si="8"/>
        <v>-570.78569999999991</v>
      </c>
      <c r="M30" s="93">
        <f t="shared" si="8"/>
        <v>0</v>
      </c>
      <c r="N30" s="93">
        <f t="shared" si="8"/>
        <v>0</v>
      </c>
      <c r="O30" s="93">
        <f t="shared" si="8"/>
        <v>0</v>
      </c>
      <c r="P30" s="93">
        <f t="shared" si="8"/>
        <v>0</v>
      </c>
      <c r="Q30" s="93">
        <f t="shared" si="8"/>
        <v>0</v>
      </c>
      <c r="R30" s="93">
        <f t="shared" si="8"/>
        <v>0</v>
      </c>
      <c r="S30" s="93">
        <f t="shared" si="8"/>
        <v>0</v>
      </c>
      <c r="T30" s="93">
        <f t="shared" si="8"/>
        <v>0</v>
      </c>
      <c r="U30" s="93">
        <f t="shared" si="8"/>
        <v>0</v>
      </c>
      <c r="V30" s="93">
        <f t="shared" si="8"/>
        <v>0</v>
      </c>
      <c r="W30" s="93">
        <f>V261-W261</f>
        <v>0</v>
      </c>
      <c r="X30" s="93">
        <f>W261-X261</f>
        <v>0</v>
      </c>
      <c r="Y30" s="93">
        <f>X261-Y261</f>
        <v>0</v>
      </c>
      <c r="Z30" s="93">
        <f>Y261-Z261</f>
        <v>-79.214300000000094</v>
      </c>
      <c r="AA30" s="93">
        <f>Z261-AA261</f>
        <v>0</v>
      </c>
    </row>
    <row r="31" spans="1:27" x14ac:dyDescent="0.35">
      <c r="A31" s="105"/>
      <c r="B31" s="105"/>
      <c r="C31" s="80" t="s">
        <v>51</v>
      </c>
      <c r="E31" s="93">
        <f t="shared" ref="E31:V31" si="9">-(D261-E261)</f>
        <v>0</v>
      </c>
      <c r="F31" s="93">
        <f t="shared" si="9"/>
        <v>0</v>
      </c>
      <c r="G31" s="93">
        <f t="shared" si="9"/>
        <v>-650</v>
      </c>
      <c r="H31" s="93">
        <f t="shared" si="9"/>
        <v>0</v>
      </c>
      <c r="I31" s="93">
        <f t="shared" si="9"/>
        <v>0</v>
      </c>
      <c r="J31" s="93">
        <f t="shared" si="9"/>
        <v>0</v>
      </c>
      <c r="K31" s="93">
        <f t="shared" si="9"/>
        <v>0</v>
      </c>
      <c r="L31" s="93">
        <f t="shared" si="9"/>
        <v>570.78569999999991</v>
      </c>
      <c r="M31" s="93">
        <f t="shared" si="9"/>
        <v>0</v>
      </c>
      <c r="N31" s="93">
        <f t="shared" si="9"/>
        <v>0</v>
      </c>
      <c r="O31" s="93">
        <f t="shared" si="9"/>
        <v>0</v>
      </c>
      <c r="P31" s="93">
        <f t="shared" si="9"/>
        <v>0</v>
      </c>
      <c r="Q31" s="93">
        <f t="shared" si="9"/>
        <v>0</v>
      </c>
      <c r="R31" s="93">
        <f t="shared" si="9"/>
        <v>0</v>
      </c>
      <c r="S31" s="93">
        <f t="shared" si="9"/>
        <v>0</v>
      </c>
      <c r="T31" s="93">
        <f t="shared" si="9"/>
        <v>0</v>
      </c>
      <c r="U31" s="93">
        <f t="shared" si="9"/>
        <v>0</v>
      </c>
      <c r="V31" s="93">
        <f t="shared" si="9"/>
        <v>0</v>
      </c>
      <c r="W31" s="93">
        <f>-(V261-W261)</f>
        <v>0</v>
      </c>
      <c r="X31" s="93">
        <f>-(W261-X261)</f>
        <v>0</v>
      </c>
      <c r="Y31" s="93">
        <f>-(X261-Y261)</f>
        <v>0</v>
      </c>
      <c r="Z31" s="93">
        <f>-(Y261-Z261)</f>
        <v>79.214300000000094</v>
      </c>
      <c r="AA31" s="93">
        <f>-(Z261-AA261)</f>
        <v>0</v>
      </c>
    </row>
    <row r="32" spans="1:27" x14ac:dyDescent="0.35">
      <c r="A32" s="105"/>
      <c r="B32" s="105"/>
      <c r="C32" s="80" t="s">
        <v>52</v>
      </c>
      <c r="D32" s="93">
        <v>1300</v>
      </c>
      <c r="G32" s="93" t="s">
        <v>44</v>
      </c>
      <c r="I32" s="93">
        <f>SUM(E260:AA260)</f>
        <v>1299.999996</v>
      </c>
    </row>
    <row r="33" spans="1:27" x14ac:dyDescent="0.35">
      <c r="A33" s="105"/>
      <c r="B33" s="105"/>
      <c r="C33" s="82" t="s">
        <v>53</v>
      </c>
      <c r="D33" s="93">
        <f t="shared" ref="D33:U33" si="10">D261</f>
        <v>1280</v>
      </c>
      <c r="E33" s="93">
        <f t="shared" si="10"/>
        <v>1280</v>
      </c>
      <c r="F33" s="93">
        <f t="shared" si="10"/>
        <v>1280</v>
      </c>
      <c r="G33" s="93">
        <f t="shared" si="10"/>
        <v>630</v>
      </c>
      <c r="H33" s="93">
        <f t="shared" si="10"/>
        <v>630</v>
      </c>
      <c r="I33" s="93">
        <f t="shared" si="10"/>
        <v>630</v>
      </c>
      <c r="J33" s="93">
        <f t="shared" si="10"/>
        <v>630</v>
      </c>
      <c r="K33" s="93">
        <f t="shared" si="10"/>
        <v>630</v>
      </c>
      <c r="L33" s="93">
        <f t="shared" si="10"/>
        <v>1200.7856999999999</v>
      </c>
      <c r="M33" s="93">
        <f t="shared" si="10"/>
        <v>1200.7856999999999</v>
      </c>
      <c r="N33" s="93">
        <f t="shared" si="10"/>
        <v>1200.7856999999999</v>
      </c>
      <c r="O33" s="93">
        <f t="shared" si="10"/>
        <v>1200.7856999999999</v>
      </c>
      <c r="P33" s="93">
        <f t="shared" si="10"/>
        <v>1200.7856999999999</v>
      </c>
      <c r="Q33" s="93">
        <f t="shared" si="10"/>
        <v>1200.7856999999999</v>
      </c>
      <c r="R33" s="93">
        <f t="shared" si="10"/>
        <v>1200.7856999999999</v>
      </c>
      <c r="S33" s="93">
        <f t="shared" si="10"/>
        <v>1200.7856999999999</v>
      </c>
      <c r="T33" s="93">
        <f t="shared" si="10"/>
        <v>1200.7856999999999</v>
      </c>
      <c r="U33" s="93">
        <f t="shared" si="10"/>
        <v>1200.7856999999999</v>
      </c>
      <c r="V33" s="93">
        <f t="shared" ref="V33:AA33" si="11">V261</f>
        <v>1200.7856999999999</v>
      </c>
      <c r="W33" s="93">
        <f t="shared" si="11"/>
        <v>1200.7856999999999</v>
      </c>
      <c r="X33" s="93">
        <f t="shared" si="11"/>
        <v>1200.7856999999999</v>
      </c>
      <c r="Y33" s="93">
        <f t="shared" si="11"/>
        <v>1200.7856999999999</v>
      </c>
      <c r="Z33" s="93">
        <f t="shared" si="11"/>
        <v>1280</v>
      </c>
      <c r="AA33" s="93">
        <f t="shared" si="11"/>
        <v>1280</v>
      </c>
    </row>
    <row r="34" spans="1:27" x14ac:dyDescent="0.35">
      <c r="A34" s="105"/>
      <c r="B34" s="105"/>
      <c r="C34" s="79" t="s">
        <v>48</v>
      </c>
      <c r="D34" s="95">
        <f>'Stations Data'!$J7+SUM($D261:D261)-SUM(Demand!$B12:B12)</f>
        <v>14357.676123257015</v>
      </c>
      <c r="E34" s="95">
        <f>'Stations Data'!$J7+SUM($D261:E261)-SUM(Demand!$B12:C12)</f>
        <v>14534.952246514033</v>
      </c>
      <c r="F34" s="95">
        <f>'Stations Data'!$J7+SUM($D261:F261)-SUM(Demand!$B12:D12)</f>
        <v>14712.228369771046</v>
      </c>
      <c r="G34" s="95">
        <f>'Stations Data'!$J7+SUM($D261:G261)-SUM(Demand!$B12:E12)</f>
        <v>14240.638982613189</v>
      </c>
      <c r="H34" s="95">
        <f>'Stations Data'!$J7+SUM($D261:H261)-SUM(Demand!$B12:F12)</f>
        <v>13769.04959545533</v>
      </c>
      <c r="I34" s="95">
        <f>'Stations Data'!$J7+SUM($D261:I261)-SUM(Demand!$B12:G12)</f>
        <v>13297.460208297471</v>
      </c>
      <c r="J34" s="95">
        <f>'Stations Data'!$J7+SUM($D261:J261)-SUM(Demand!$B12:H12)</f>
        <v>12825.870821139613</v>
      </c>
      <c r="K34" s="95">
        <f>'Stations Data'!$J7+SUM($D261:K261)-SUM(Demand!$B12:I12)</f>
        <v>12355.415923566881</v>
      </c>
      <c r="L34" s="95">
        <f>'Stations Data'!$J7+SUM($D261:L261)-SUM(Demand!$B12:J12)</f>
        <v>12456.881215579277</v>
      </c>
      <c r="M34" s="95">
        <f>'Stations Data'!$J7+SUM($D261:M261)-SUM(Demand!$B12:K12)</f>
        <v>12558.346507591672</v>
      </c>
      <c r="N34" s="95">
        <f>'Stations Data'!$J7+SUM($D261:N261)-SUM(Demand!$B12:L12)</f>
        <v>12659.811799604067</v>
      </c>
      <c r="O34" s="95">
        <f>'Stations Data'!$J7+SUM($D261:O261)-SUM(Demand!$B12:M12)</f>
        <v>12762.411581201588</v>
      </c>
      <c r="P34" s="95">
        <f>'Stations Data'!$J7+SUM($D261:P261)-SUM(Demand!$B12:N12)</f>
        <v>12866.145852384236</v>
      </c>
      <c r="Q34" s="95">
        <f>'Stations Data'!$J7+SUM($D261:Q261)-SUM(Demand!$B12:O12)</f>
        <v>12968.745633981758</v>
      </c>
      <c r="R34" s="95">
        <f>'Stations Data'!$J7+SUM($D261:R261)-SUM(Demand!$B12:P12)</f>
        <v>13073.614394749533</v>
      </c>
      <c r="S34" s="95">
        <f>'Stations Data'!$J7+SUM($D261:S261)-SUM(Demand!$B12:Q12)</f>
        <v>13178.483155517308</v>
      </c>
      <c r="T34" s="95">
        <f>'Stations Data'!$J7+SUM($D261:T261)-SUM(Demand!$B12:R12)</f>
        <v>13284.486405870208</v>
      </c>
      <c r="U34" s="95">
        <f>'Stations Data'!$J7+SUM($D261:U261)-SUM(Demand!$B12:S12)</f>
        <v>13390.489656223108</v>
      </c>
      <c r="V34" s="95">
        <f>'Stations Data'!$J7+SUM($D261:V261)-SUM(Demand!$B12:T12)</f>
        <v>13496.492906576008</v>
      </c>
      <c r="W34" s="95">
        <f>'Stations Data'!$J7+SUM($D261:W261)-SUM(Demand!$B12:U12)</f>
        <v>13602.496156928908</v>
      </c>
      <c r="X34" s="95">
        <f>'Stations Data'!$J7+SUM($D261:X261)-SUM(Demand!$B12:V12)</f>
        <v>13707.364917696683</v>
      </c>
      <c r="Y34" s="95">
        <f>'Stations Data'!$J7+SUM($D261:Y261)-SUM(Demand!$B12:W12)</f>
        <v>13812.233678464458</v>
      </c>
      <c r="Z34" s="95">
        <f>'Stations Data'!$J7+SUM($D261:Z261)-SUM(Demand!$B12:X12)</f>
        <v>13996.316739232232</v>
      </c>
      <c r="AA34" s="95">
        <f>'Stations Data'!$J7+SUM($D261:AA261)-SUM(Demand!$B12:Y12)</f>
        <v>14180.399800000007</v>
      </c>
    </row>
    <row r="35" spans="1:27" x14ac:dyDescent="0.35">
      <c r="A35" s="105"/>
      <c r="B35" s="105"/>
      <c r="C35" s="79" t="s">
        <v>8</v>
      </c>
      <c r="D35" s="95">
        <f>SUM(D33:AA33)/4545</f>
        <v>5.7999999559956006</v>
      </c>
      <c r="F35" s="93" t="s">
        <v>5</v>
      </c>
      <c r="I35" s="95">
        <f>'Stations Data'!B7*SUM(D261:AA261)</f>
        <v>430.62344783852586</v>
      </c>
      <c r="K35" s="93" t="s">
        <v>6</v>
      </c>
      <c r="M35" s="95">
        <v>112.49574380284461</v>
      </c>
      <c r="Q35" s="96" t="s">
        <v>29</v>
      </c>
      <c r="S35" s="93">
        <f>AA34-'Stations Data'!L7</f>
        <v>-1.9999999312858563E-4</v>
      </c>
      <c r="W35" s="93" t="s">
        <v>67</v>
      </c>
    </row>
    <row r="36" spans="1:27" s="45" customFormat="1" x14ac:dyDescent="0.35">
      <c r="A36" s="105"/>
      <c r="B36" s="105" t="s">
        <v>174</v>
      </c>
      <c r="C36" s="78" t="s">
        <v>32</v>
      </c>
      <c r="D36" s="92">
        <f>'Stations Data'!$B$5*Demand!B3</f>
        <v>8.1687934054054043E-2</v>
      </c>
      <c r="E36" s="92">
        <f>'Stations Data'!$B$5*Demand!C3</f>
        <v>5.8065622388206388E-2</v>
      </c>
      <c r="F36" s="92">
        <f>'Stations Data'!$B$5*Demand!D3</f>
        <v>5.8065622388206388E-2</v>
      </c>
      <c r="G36" s="92">
        <f>'Stations Data'!$B$5*Demand!E3</f>
        <v>5.8065622388206388E-2</v>
      </c>
      <c r="H36" s="92">
        <f>'Stations Data'!$B$5*Demand!F3</f>
        <v>4.4910682358722351E-2</v>
      </c>
      <c r="I36" s="92">
        <f>'Stations Data'!$B$5*Demand!G3</f>
        <v>4.4910682358722351E-2</v>
      </c>
      <c r="J36" s="92">
        <f>'Stations Data'!$B$5*Demand!H3</f>
        <v>4.4910682358722351E-2</v>
      </c>
      <c r="K36" s="92">
        <f>'Stations Data'!$B$5*Demand!I3</f>
        <v>4.3566898162162158E-2</v>
      </c>
      <c r="L36" s="92">
        <f>'Stations Data'!$B$5*Demand!J3</f>
        <v>4.3566898162162158E-2</v>
      </c>
      <c r="M36" s="92">
        <f>'Stations Data'!$B$5*Demand!K3</f>
        <v>4.3566898162162158E-2</v>
      </c>
      <c r="N36" s="92">
        <f>'Stations Data'!$B$5*Demand!L3</f>
        <v>6.2521327882063868E-2</v>
      </c>
      <c r="O36" s="92">
        <f>'Stations Data'!$B$5*Demand!M3</f>
        <v>6.2521327882063868E-2</v>
      </c>
      <c r="P36" s="92">
        <f>'Stations Data'!$B$5*Demand!N3</f>
        <v>6.2521327882063868E-2</v>
      </c>
      <c r="Q36" s="92">
        <f>'Stations Data'!$B$5*Demand!O3</f>
        <v>8.6497266968058956E-2</v>
      </c>
      <c r="R36" s="92">
        <f>'Stations Data'!$B$5*Demand!P3</f>
        <v>8.6497266968058956E-2</v>
      </c>
      <c r="S36" s="92">
        <f>'Stations Data'!$B$5*Demand!Q3</f>
        <v>8.6497266968058956E-2</v>
      </c>
      <c r="T36" s="92">
        <f>'Stations Data'!$B$5*Demand!R3</f>
        <v>9.6858550378378372E-2</v>
      </c>
      <c r="U36" s="92">
        <f>'Stations Data'!$B$5*Demand!S3</f>
        <v>9.6858550378378372E-2</v>
      </c>
      <c r="V36" s="92">
        <f>'Stations Data'!$B$5*Demand!T3</f>
        <v>9.6858550378378372E-2</v>
      </c>
      <c r="W36" s="92">
        <f>'Stations Data'!$B$5*Demand!U3</f>
        <v>9.441852117936117E-2</v>
      </c>
      <c r="X36" s="92">
        <f>'Stations Data'!$B$5*Demand!V3</f>
        <v>9.441852117936117E-2</v>
      </c>
      <c r="Y36" s="92">
        <f>'Stations Data'!$B$5*Demand!W3</f>
        <v>9.441852117936117E-2</v>
      </c>
      <c r="Z36" s="92">
        <f>'Stations Data'!$B$5*Demand!X3</f>
        <v>8.1687934054054043E-2</v>
      </c>
      <c r="AA36" s="92">
        <f>'Stations Data'!$B$5*Demand!Y3</f>
        <v>8.1687934054054043E-2</v>
      </c>
    </row>
    <row r="37" spans="1:27" x14ac:dyDescent="0.35">
      <c r="A37" s="105"/>
      <c r="B37" s="105"/>
      <c r="C37" s="79" t="s">
        <v>45</v>
      </c>
      <c r="D37" s="95">
        <f>SUM($D263:D263)+SUM($D264:D264)</f>
        <v>6628.3082999999997</v>
      </c>
      <c r="E37" s="95">
        <f>SUM($D263:E263)+SUM($D264:E264)</f>
        <v>13256.616599999999</v>
      </c>
      <c r="F37" s="95">
        <f>SUM($D263:F263)+SUM($D264:F264)</f>
        <v>19884.924899999998</v>
      </c>
      <c r="G37" s="95">
        <f>SUM($D263:G263)+SUM($D264:G264)</f>
        <v>26513.233199999999</v>
      </c>
      <c r="H37" s="95">
        <f>SUM($D263:H263)+SUM($D264:H264)</f>
        <v>33141.541499999999</v>
      </c>
      <c r="I37" s="95">
        <f>SUM($D263:I263)+SUM($D264:I264)</f>
        <v>39769.849799999996</v>
      </c>
      <c r="J37" s="95">
        <f>SUM($D263:J263)+SUM($D264:J264)</f>
        <v>46398.158100000001</v>
      </c>
      <c r="K37" s="95">
        <f>SUM($D263:K263)+SUM($D264:K264)</f>
        <v>53026.466399999998</v>
      </c>
      <c r="L37" s="95">
        <f>SUM($D263:L263)+SUM($D264:L264)</f>
        <v>59654.774699999994</v>
      </c>
      <c r="M37" s="95">
        <f>SUM($D263:M263)+SUM($D264:M264)</f>
        <v>66283.082999999984</v>
      </c>
      <c r="N37" s="95">
        <f>SUM($D263:N263)+SUM($D264:N264)</f>
        <v>72911.391299999988</v>
      </c>
      <c r="O37" s="95">
        <f>SUM($D263:O263)+SUM($D264:O264)</f>
        <v>79539.699599999993</v>
      </c>
      <c r="P37" s="95">
        <f>SUM($D263:P263)+SUM($D264:P264)</f>
        <v>86168.007899999982</v>
      </c>
      <c r="Q37" s="95">
        <f>SUM($D263:Q263)+SUM($D264:Q264)</f>
        <v>88796.316229999982</v>
      </c>
      <c r="R37" s="95">
        <f>SUM($D263:R263)+SUM($D264:R264)</f>
        <v>91424.624559999982</v>
      </c>
      <c r="S37" s="95">
        <f>SUM($D263:S263)+SUM($D264:S264)</f>
        <v>94052.932889999982</v>
      </c>
      <c r="T37" s="95">
        <f>SUM($D263:T263)+SUM($D264:T264)</f>
        <v>96681.241219999982</v>
      </c>
      <c r="U37" s="95">
        <f>SUM($D263:U263)+SUM($D264:U264)</f>
        <v>99309.549549999982</v>
      </c>
      <c r="V37" s="95">
        <f>SUM($D263:V263)+SUM($D264:V264)</f>
        <v>101937.85787999998</v>
      </c>
      <c r="W37" s="95">
        <f>SUM($D263:W263)+SUM($D264:W264)</f>
        <v>104566.16620999998</v>
      </c>
      <c r="X37" s="95">
        <f>SUM($D263:X263)+SUM($D264:X264)</f>
        <v>107194.47453999998</v>
      </c>
      <c r="Y37" s="95">
        <f>SUM($D263:Y263)+SUM($D264:Y264)</f>
        <v>109822.78286999998</v>
      </c>
      <c r="Z37" s="95">
        <f>SUM($D263:Z263)+SUM($D264:Z264)</f>
        <v>112451.09119999998</v>
      </c>
      <c r="AA37" s="95">
        <f>SUM($D263:AA263)+SUM($D264:AA264)</f>
        <v>115079.39952999998</v>
      </c>
    </row>
    <row r="38" spans="1:27" x14ac:dyDescent="0.35">
      <c r="A38" s="105"/>
      <c r="B38" s="105"/>
      <c r="C38" s="79" t="s">
        <v>46</v>
      </c>
      <c r="D38" s="95">
        <f>'Stations Data'!$H$8-'Stations Data'!$J$8+SUM(Demand!$B14:B14)</f>
        <v>-13636.358187733462</v>
      </c>
      <c r="E38" s="95">
        <f>'Stations Data'!$H$8-'Stations Data'!$J$8+SUM(Demand!$B14:C14)</f>
        <v>-9099.6497047837092</v>
      </c>
      <c r="F38" s="95">
        <f>'Stations Data'!$H$8-'Stations Data'!$J$8+SUM(Demand!$B14:D14)</f>
        <v>-4565.2523316062179</v>
      </c>
      <c r="G38" s="95">
        <f>'Stations Data'!$H$8-'Stations Data'!$J$8+SUM(Demand!$B14:E14)</f>
        <v>-21.61051933967974</v>
      </c>
      <c r="H38" s="95">
        <f>'Stations Data'!$H$8-'Stations Data'!$J$8+SUM(Demand!$B14:F14)</f>
        <v>4528.9646222436422</v>
      </c>
      <c r="I38" s="95">
        <f>'Stations Data'!$H$8-'Stations Data'!$J$8+SUM(Demand!$B14:G14)</f>
        <v>9084.1619833714867</v>
      </c>
      <c r="J38" s="95">
        <f>'Stations Data'!$H$8-'Stations Data'!$J$8+SUM(Demand!$B14:H14)</f>
        <v>13646.292673816119</v>
      </c>
      <c r="K38" s="95">
        <f>'Stations Data'!$H$8-'Stations Data'!$J$8+SUM(Demand!$B14:I14)</f>
        <v>18213.045583805273</v>
      </c>
      <c r="L38" s="95">
        <f>'Stations Data'!$H$8-'Stations Data'!$J$8+SUM(Demand!$B14:J14)</f>
        <v>23174.99826485118</v>
      </c>
      <c r="M38" s="95">
        <f>'Stations Data'!$H$8-'Stations Data'!$J$8+SUM(Demand!$B14:K14)</f>
        <v>29350.283576334492</v>
      </c>
      <c r="N38" s="95">
        <f>'Stations Data'!$H$8-'Stations Data'!$J$8+SUM(Demand!$B14:L14)</f>
        <v>35396.146740571145</v>
      </c>
      <c r="O38" s="95">
        <f>'Stations Data'!$H$8-'Stations Data'!$J$8+SUM(Demand!$B14:M14)</f>
        <v>40337.299433666696</v>
      </c>
      <c r="P38" s="95">
        <f>'Stations Data'!$H$8-'Stations Data'!$J$8+SUM(Demand!$B14:N14)</f>
        <v>45075.07446680322</v>
      </c>
      <c r="Q38" s="95">
        <f>'Stations Data'!$H$8-'Stations Data'!$J$8+SUM(Demand!$B14:O14)</f>
        <v>49879.871683335339</v>
      </c>
      <c r="R38" s="95">
        <f>'Stations Data'!$H$8-'Stations Data'!$J$8+SUM(Demand!$B14:P14)</f>
        <v>54754.002193035296</v>
      </c>
      <c r="S38" s="95">
        <f>'Stations Data'!$H$8-'Stations Data'!$J$8+SUM(Demand!$B14:Q14)</f>
        <v>59614.266044101692</v>
      </c>
      <c r="T38" s="95">
        <f>'Stations Data'!$H$8-'Stations Data'!$J$8+SUM(Demand!$B14:R14)</f>
        <v>64465.285456079044</v>
      </c>
      <c r="U38" s="95">
        <f>'Stations Data'!$H$8-'Stations Data'!$J$8+SUM(Demand!$B14:S14)</f>
        <v>69350.971514640318</v>
      </c>
      <c r="V38" s="95">
        <f>'Stations Data'!$H$8-'Stations Data'!$J$8+SUM(Demand!$B14:T14)</f>
        <v>74222.790914568017</v>
      </c>
      <c r="W38" s="95">
        <f>'Stations Data'!$H$8-'Stations Data'!$J$8+SUM(Demand!$B14:U14)</f>
        <v>78983.677045427161</v>
      </c>
      <c r="X38" s="95">
        <f>'Stations Data'!$H$8-'Stations Data'!$J$8+SUM(Demand!$B14:V14)</f>
        <v>83469.541113387153</v>
      </c>
      <c r="Y38" s="95">
        <f>'Stations Data'!$H$8-'Stations Data'!$J$8+SUM(Demand!$B14:W14)</f>
        <v>88024.738474515005</v>
      </c>
      <c r="Z38" s="95">
        <f>'Stations Data'!$H$8-'Stations Data'!$J$8+SUM(Demand!$B14:X14)</f>
        <v>92464.380347029772</v>
      </c>
      <c r="AA38" s="95">
        <f>'Stations Data'!$L$8-'Stations Data'!$J$8+SUM(Demand!$B14:Y14)</f>
        <v>115079.40000000001</v>
      </c>
    </row>
    <row r="39" spans="1:27" x14ac:dyDescent="0.35">
      <c r="A39" s="105"/>
      <c r="B39" s="105"/>
      <c r="C39" s="79" t="s">
        <v>47</v>
      </c>
      <c r="D39" s="95">
        <f>'Stations Data'!$N$8-'Stations Data'!$J$8+SUM(Demand!$B14:B14)</f>
        <v>31429.557305224287</v>
      </c>
      <c r="E39" s="95">
        <f>'Stations Data'!$N$8-'Stations Data'!$J$8+SUM(Demand!$B14:C14)</f>
        <v>35966.265788174038</v>
      </c>
      <c r="F39" s="95">
        <f>'Stations Data'!$N$8-'Stations Data'!$J$8+SUM(Demand!$B14:D14)</f>
        <v>40500.663161351535</v>
      </c>
      <c r="G39" s="95">
        <f>'Stations Data'!$N$8-'Stations Data'!$J$8+SUM(Demand!$B14:E14)</f>
        <v>45044.304973618069</v>
      </c>
      <c r="H39" s="95">
        <f>'Stations Data'!$N$8-'Stations Data'!$J$8+SUM(Demand!$B14:F14)</f>
        <v>49594.880115201391</v>
      </c>
      <c r="I39" s="95">
        <f>'Stations Data'!$N$8-'Stations Data'!$J$8+SUM(Demand!$B14:G14)</f>
        <v>54150.077476329236</v>
      </c>
      <c r="J39" s="95">
        <f>'Stations Data'!$N$8-'Stations Data'!$J$8+SUM(Demand!$B14:H14)</f>
        <v>58712.208166773868</v>
      </c>
      <c r="K39" s="95">
        <f>'Stations Data'!$N$8-'Stations Data'!$J$8+SUM(Demand!$B14:I14)</f>
        <v>63278.961076763022</v>
      </c>
      <c r="L39" s="95">
        <f>'Stations Data'!$N$8-'Stations Data'!$J$8+SUM(Demand!$B14:J14)</f>
        <v>68240.913757808928</v>
      </c>
      <c r="M39" s="95">
        <f>'Stations Data'!$N$8-'Stations Data'!$J$8+SUM(Demand!$B14:K14)</f>
        <v>74416.199069292241</v>
      </c>
      <c r="N39" s="95">
        <f>'Stations Data'!$N$8-'Stations Data'!$J$8+SUM(Demand!$B14:L14)</f>
        <v>80462.062233528894</v>
      </c>
      <c r="O39" s="95">
        <f>'Stations Data'!$N$8-'Stations Data'!$J$8+SUM(Demand!$B14:M14)</f>
        <v>85403.214926624438</v>
      </c>
      <c r="P39" s="95">
        <f>'Stations Data'!$N$8-'Stations Data'!$J$8+SUM(Demand!$B14:N14)</f>
        <v>90140.989959760976</v>
      </c>
      <c r="Q39" s="95">
        <f>'Stations Data'!$N$8-'Stations Data'!$J$8+SUM(Demand!$B14:O14)</f>
        <v>94945.787176293088</v>
      </c>
      <c r="R39" s="95">
        <f>'Stations Data'!$N$8-'Stations Data'!$J$8+SUM(Demand!$B14:P14)</f>
        <v>99819.917685993045</v>
      </c>
      <c r="S39" s="95">
        <f>'Stations Data'!$N$8-'Stations Data'!$J$8+SUM(Demand!$B14:Q14)</f>
        <v>104680.18153705944</v>
      </c>
      <c r="T39" s="95">
        <f>'Stations Data'!$N$8-'Stations Data'!$J$8+SUM(Demand!$B14:R14)</f>
        <v>109531.20094903679</v>
      </c>
      <c r="U39" s="95">
        <f>'Stations Data'!$N$8-'Stations Data'!$J$8+SUM(Demand!$B14:S14)</f>
        <v>114416.88700759807</v>
      </c>
      <c r="V39" s="95">
        <f>'Stations Data'!$N$8-'Stations Data'!$J$8+SUM(Demand!$B14:T14)</f>
        <v>119288.70640752577</v>
      </c>
      <c r="W39" s="95">
        <f>'Stations Data'!$N$8-'Stations Data'!$J$8+SUM(Demand!$B14:U14)</f>
        <v>124049.59253838491</v>
      </c>
      <c r="X39" s="95">
        <f>'Stations Data'!$N$8-'Stations Data'!$J$8+SUM(Demand!$B14:V14)</f>
        <v>128535.4566063449</v>
      </c>
      <c r="Y39" s="95">
        <f>'Stations Data'!$N$8-'Stations Data'!$J$8+SUM(Demand!$B14:W14)</f>
        <v>133090.65396747275</v>
      </c>
      <c r="Z39" s="95">
        <f>'Stations Data'!$N$8-'Stations Data'!$J$8+SUM(Demand!$B14:X14)</f>
        <v>137530.29583998752</v>
      </c>
      <c r="AA39" s="95">
        <f>'Stations Data'!$N$8-'Stations Data'!$J$8+SUM(Demand!$B14:Y14)</f>
        <v>141965.31549295777</v>
      </c>
    </row>
    <row r="40" spans="1:27" x14ac:dyDescent="0.35">
      <c r="A40" s="105"/>
      <c r="B40" s="105"/>
      <c r="C40" s="80" t="s">
        <v>50</v>
      </c>
      <c r="E40" s="93">
        <f t="shared" ref="E40:V40" si="12">D264-E264</f>
        <v>0</v>
      </c>
      <c r="F40" s="93">
        <f t="shared" si="12"/>
        <v>0</v>
      </c>
      <c r="G40" s="93">
        <f t="shared" si="12"/>
        <v>0</v>
      </c>
      <c r="H40" s="93">
        <f t="shared" si="12"/>
        <v>0</v>
      </c>
      <c r="I40" s="93">
        <f t="shared" si="12"/>
        <v>0</v>
      </c>
      <c r="J40" s="93">
        <f t="shared" si="12"/>
        <v>0</v>
      </c>
      <c r="K40" s="93">
        <f t="shared" si="12"/>
        <v>0</v>
      </c>
      <c r="L40" s="93">
        <f t="shared" si="12"/>
        <v>0</v>
      </c>
      <c r="M40" s="93">
        <f t="shared" si="12"/>
        <v>0</v>
      </c>
      <c r="N40" s="93">
        <f t="shared" si="12"/>
        <v>0</v>
      </c>
      <c r="O40" s="93">
        <f t="shared" si="12"/>
        <v>0</v>
      </c>
      <c r="P40" s="93">
        <f t="shared" si="12"/>
        <v>0</v>
      </c>
      <c r="Q40" s="93">
        <f t="shared" si="12"/>
        <v>3999.9999699999998</v>
      </c>
      <c r="R40" s="93">
        <f t="shared" si="12"/>
        <v>0</v>
      </c>
      <c r="S40" s="93">
        <f t="shared" si="12"/>
        <v>0</v>
      </c>
      <c r="T40" s="93">
        <f t="shared" si="12"/>
        <v>0</v>
      </c>
      <c r="U40" s="93">
        <f t="shared" si="12"/>
        <v>0</v>
      </c>
      <c r="V40" s="93">
        <f t="shared" si="12"/>
        <v>0</v>
      </c>
      <c r="W40" s="93">
        <f>V264-W264</f>
        <v>0</v>
      </c>
      <c r="X40" s="93">
        <f>W264-X264</f>
        <v>0</v>
      </c>
      <c r="Y40" s="93">
        <f>X264-Y264</f>
        <v>0</v>
      </c>
      <c r="Z40" s="93">
        <f>Y264-Z264</f>
        <v>0</v>
      </c>
      <c r="AA40" s="93">
        <f>Z264-AA264</f>
        <v>0</v>
      </c>
    </row>
    <row r="41" spans="1:27" x14ac:dyDescent="0.35">
      <c r="A41" s="105"/>
      <c r="B41" s="105"/>
      <c r="C41" s="80" t="s">
        <v>51</v>
      </c>
      <c r="E41" s="93">
        <f t="shared" ref="E41:V41" si="13">-(D264-E264)</f>
        <v>0</v>
      </c>
      <c r="F41" s="93">
        <f t="shared" si="13"/>
        <v>0</v>
      </c>
      <c r="G41" s="93">
        <f t="shared" si="13"/>
        <v>0</v>
      </c>
      <c r="H41" s="93">
        <f t="shared" si="13"/>
        <v>0</v>
      </c>
      <c r="I41" s="93">
        <f t="shared" si="13"/>
        <v>0</v>
      </c>
      <c r="J41" s="93">
        <f t="shared" si="13"/>
        <v>0</v>
      </c>
      <c r="K41" s="93">
        <f t="shared" si="13"/>
        <v>0</v>
      </c>
      <c r="L41" s="93">
        <f t="shared" si="13"/>
        <v>0</v>
      </c>
      <c r="M41" s="93">
        <f t="shared" si="13"/>
        <v>0</v>
      </c>
      <c r="N41" s="93">
        <f t="shared" si="13"/>
        <v>0</v>
      </c>
      <c r="O41" s="93">
        <f t="shared" si="13"/>
        <v>0</v>
      </c>
      <c r="P41" s="93">
        <f t="shared" si="13"/>
        <v>0</v>
      </c>
      <c r="Q41" s="93">
        <f t="shared" si="13"/>
        <v>-3999.9999699999998</v>
      </c>
      <c r="R41" s="93">
        <f t="shared" si="13"/>
        <v>0</v>
      </c>
      <c r="S41" s="93">
        <f t="shared" si="13"/>
        <v>0</v>
      </c>
      <c r="T41" s="93">
        <f t="shared" si="13"/>
        <v>0</v>
      </c>
      <c r="U41" s="93">
        <f t="shared" si="13"/>
        <v>0</v>
      </c>
      <c r="V41" s="93">
        <f t="shared" si="13"/>
        <v>0</v>
      </c>
      <c r="W41" s="93">
        <f>-(V264-W264)</f>
        <v>0</v>
      </c>
      <c r="X41" s="93">
        <f>-(W264-X264)</f>
        <v>0</v>
      </c>
      <c r="Y41" s="93">
        <f>-(X264-Y264)</f>
        <v>0</v>
      </c>
      <c r="Z41" s="93">
        <f>-(Y264-Z264)</f>
        <v>0</v>
      </c>
      <c r="AA41" s="93">
        <f>-(Z264-AA264)</f>
        <v>0</v>
      </c>
    </row>
    <row r="42" spans="1:27" x14ac:dyDescent="0.35">
      <c r="A42" s="105"/>
      <c r="B42" s="105"/>
      <c r="C42" s="80" t="s">
        <v>65</v>
      </c>
      <c r="D42" s="93">
        <v>4000</v>
      </c>
      <c r="G42" s="93" t="s">
        <v>44</v>
      </c>
      <c r="I42" s="93">
        <f>SUM(E262:AA262)</f>
        <v>4000</v>
      </c>
    </row>
    <row r="43" spans="1:27" x14ac:dyDescent="0.35">
      <c r="A43" s="105"/>
      <c r="B43" s="105"/>
      <c r="C43" s="82" t="s">
        <v>55</v>
      </c>
      <c r="D43" s="93">
        <f t="shared" ref="D43:U43" si="14">D263</f>
        <v>2300</v>
      </c>
      <c r="E43" s="93">
        <f t="shared" si="14"/>
        <v>2300</v>
      </c>
      <c r="F43" s="93">
        <f t="shared" si="14"/>
        <v>2300</v>
      </c>
      <c r="G43" s="93">
        <f t="shared" si="14"/>
        <v>2300</v>
      </c>
      <c r="H43" s="93">
        <f t="shared" si="14"/>
        <v>2300</v>
      </c>
      <c r="I43" s="93">
        <f t="shared" si="14"/>
        <v>2300</v>
      </c>
      <c r="J43" s="93">
        <f t="shared" si="14"/>
        <v>2300</v>
      </c>
      <c r="K43" s="93">
        <f t="shared" si="14"/>
        <v>2300</v>
      </c>
      <c r="L43" s="93">
        <f t="shared" si="14"/>
        <v>2300</v>
      </c>
      <c r="M43" s="93">
        <f t="shared" si="14"/>
        <v>2300</v>
      </c>
      <c r="N43" s="93">
        <f t="shared" si="14"/>
        <v>2300</v>
      </c>
      <c r="O43" s="93">
        <f t="shared" si="14"/>
        <v>2300</v>
      </c>
      <c r="P43" s="93">
        <f t="shared" si="14"/>
        <v>2300</v>
      </c>
      <c r="Q43" s="93">
        <f t="shared" si="14"/>
        <v>2300</v>
      </c>
      <c r="R43" s="93">
        <f t="shared" si="14"/>
        <v>2300</v>
      </c>
      <c r="S43" s="93">
        <f t="shared" si="14"/>
        <v>2300</v>
      </c>
      <c r="T43" s="93">
        <f t="shared" si="14"/>
        <v>2300</v>
      </c>
      <c r="U43" s="93">
        <f t="shared" si="14"/>
        <v>2300</v>
      </c>
      <c r="V43" s="93">
        <f t="shared" ref="V43:AA43" si="15">V263</f>
        <v>2300</v>
      </c>
      <c r="W43" s="93">
        <f t="shared" si="15"/>
        <v>2300</v>
      </c>
      <c r="X43" s="93">
        <f t="shared" si="15"/>
        <v>2300</v>
      </c>
      <c r="Y43" s="93">
        <f t="shared" si="15"/>
        <v>2300</v>
      </c>
      <c r="Z43" s="93">
        <f t="shared" si="15"/>
        <v>2300</v>
      </c>
      <c r="AA43" s="93">
        <f t="shared" si="15"/>
        <v>2300</v>
      </c>
    </row>
    <row r="44" spans="1:27" x14ac:dyDescent="0.35">
      <c r="A44" s="105"/>
      <c r="B44" s="105"/>
      <c r="C44" s="82" t="s">
        <v>56</v>
      </c>
      <c r="D44" s="93">
        <f t="shared" ref="D44:U44" si="16">D264</f>
        <v>4328.3082999999997</v>
      </c>
      <c r="E44" s="93">
        <f t="shared" si="16"/>
        <v>4328.3082999999997</v>
      </c>
      <c r="F44" s="93">
        <f t="shared" si="16"/>
        <v>4328.3082999999997</v>
      </c>
      <c r="G44" s="93">
        <f t="shared" si="16"/>
        <v>4328.3082999999997</v>
      </c>
      <c r="H44" s="93">
        <f t="shared" si="16"/>
        <v>4328.3082999999997</v>
      </c>
      <c r="I44" s="93">
        <f t="shared" si="16"/>
        <v>4328.3082999999997</v>
      </c>
      <c r="J44" s="93">
        <f t="shared" si="16"/>
        <v>4328.3082999999997</v>
      </c>
      <c r="K44" s="93">
        <f t="shared" si="16"/>
        <v>4328.3082999999997</v>
      </c>
      <c r="L44" s="93">
        <f t="shared" si="16"/>
        <v>4328.3082999999997</v>
      </c>
      <c r="M44" s="93">
        <f t="shared" si="16"/>
        <v>4328.3082999999997</v>
      </c>
      <c r="N44" s="93">
        <f t="shared" si="16"/>
        <v>4328.3082999999997</v>
      </c>
      <c r="O44" s="93">
        <f t="shared" si="16"/>
        <v>4328.3082999999997</v>
      </c>
      <c r="P44" s="93">
        <f t="shared" si="16"/>
        <v>4328.3082999999997</v>
      </c>
      <c r="Q44" s="93">
        <f t="shared" si="16"/>
        <v>328.30833000000001</v>
      </c>
      <c r="R44" s="93">
        <f t="shared" si="16"/>
        <v>328.30833000000001</v>
      </c>
      <c r="S44" s="93">
        <f t="shared" si="16"/>
        <v>328.30833000000001</v>
      </c>
      <c r="T44" s="93">
        <f t="shared" si="16"/>
        <v>328.30833000000001</v>
      </c>
      <c r="U44" s="93">
        <f t="shared" si="16"/>
        <v>328.30833000000001</v>
      </c>
      <c r="V44" s="93">
        <f t="shared" ref="V44:AA44" si="17">V264</f>
        <v>328.30833000000001</v>
      </c>
      <c r="W44" s="93">
        <f t="shared" si="17"/>
        <v>328.30833000000001</v>
      </c>
      <c r="X44" s="93">
        <f t="shared" si="17"/>
        <v>328.30833000000001</v>
      </c>
      <c r="Y44" s="93">
        <f t="shared" si="17"/>
        <v>328.30833000000001</v>
      </c>
      <c r="Z44" s="93">
        <f t="shared" si="17"/>
        <v>328.30833000000001</v>
      </c>
      <c r="AA44" s="93">
        <f t="shared" si="17"/>
        <v>328.30833000000001</v>
      </c>
    </row>
    <row r="45" spans="1:27" x14ac:dyDescent="0.35">
      <c r="A45" s="105"/>
      <c r="B45" s="105"/>
      <c r="C45" s="80" t="s">
        <v>48</v>
      </c>
      <c r="D45" s="95">
        <f>'Stations Data'!$J$8+SUM($D263:D263)+SUM($D264:D264)-SUM(Demand!$B14:B14)</f>
        <v>56624.666487733455</v>
      </c>
      <c r="E45" s="95">
        <f>'Stations Data'!$J$8+SUM($D263:E263)+SUM($D264:E264)-SUM(Demand!$B14:C14)</f>
        <v>58716.266304783705</v>
      </c>
      <c r="F45" s="95">
        <f>'Stations Data'!$J$8+SUM($D263:F263)+SUM($D264:F264)-SUM(Demand!$B14:D14)</f>
        <v>60810.177231606212</v>
      </c>
      <c r="G45" s="95">
        <f>'Stations Data'!$J$8+SUM($D263:G263)+SUM($D264:G264)-SUM(Demand!$B14:E14)</f>
        <v>62894.843719339682</v>
      </c>
      <c r="H45" s="95">
        <f>'Stations Data'!$J$8+SUM($D263:H263)+SUM($D264:H264)-SUM(Demand!$B14:F14)</f>
        <v>64972.57687775635</v>
      </c>
      <c r="I45" s="95">
        <f>'Stations Data'!$J$8+SUM($D263:I263)+SUM($D264:I264)-SUM(Demand!$B14:G14)</f>
        <v>67045.687816628517</v>
      </c>
      <c r="J45" s="95">
        <f>'Stations Data'!$J$8+SUM($D263:J263)+SUM($D264:J264)-SUM(Demand!$B14:H14)</f>
        <v>69111.865426183882</v>
      </c>
      <c r="K45" s="95">
        <f>'Stations Data'!$J$8+SUM($D263:K263)+SUM($D264:K264)-SUM(Demand!$B14:I14)</f>
        <v>71173.420816194732</v>
      </c>
      <c r="L45" s="95">
        <f>'Stations Data'!$J$8+SUM($D263:L263)+SUM($D264:L264)-SUM(Demand!$B14:J14)</f>
        <v>72839.776435148815</v>
      </c>
      <c r="M45" s="95">
        <f>'Stations Data'!$J$8+SUM($D263:M263)+SUM($D264:M264)-SUM(Demand!$B14:K14)</f>
        <v>73292.799423665492</v>
      </c>
      <c r="N45" s="95">
        <f>'Stations Data'!$J$8+SUM($D263:N263)+SUM($D264:N264)-SUM(Demand!$B14:L14)</f>
        <v>73875.244559428844</v>
      </c>
      <c r="O45" s="95">
        <f>'Stations Data'!$J$8+SUM($D263:O263)+SUM($D264:O264)-SUM(Demand!$B14:M14)</f>
        <v>75562.400166333304</v>
      </c>
      <c r="P45" s="95">
        <f>'Stations Data'!$J$8+SUM($D263:P263)+SUM($D264:P264)-SUM(Demand!$B14:N14)</f>
        <v>77452.93343319674</v>
      </c>
      <c r="Q45" s="95">
        <f>'Stations Data'!$J$8+SUM($D263:Q263)+SUM($D264:Q264)-SUM(Demand!$B14:O14)</f>
        <v>75276.444546664658</v>
      </c>
      <c r="R45" s="95">
        <f>'Stations Data'!$J$8+SUM($D263:R263)+SUM($D264:R264)-SUM(Demand!$B14:P14)</f>
        <v>73030.622366964672</v>
      </c>
      <c r="S45" s="95">
        <f>'Stations Data'!$J$8+SUM($D263:S263)+SUM($D264:S264)-SUM(Demand!$B14:Q14)</f>
        <v>70798.666845898304</v>
      </c>
      <c r="T45" s="95">
        <f>'Stations Data'!$J$8+SUM($D263:T263)+SUM($D264:T264)-SUM(Demand!$B14:R14)</f>
        <v>68575.955763920923</v>
      </c>
      <c r="U45" s="95">
        <f>'Stations Data'!$J$8+SUM($D263:U263)+SUM($D264:U264)-SUM(Demand!$B14:S14)</f>
        <v>66318.578035359678</v>
      </c>
      <c r="V45" s="95">
        <f>'Stations Data'!$J$8+SUM($D263:V263)+SUM($D264:V264)-SUM(Demand!$B14:T14)</f>
        <v>64075.06696543195</v>
      </c>
      <c r="W45" s="95">
        <f>'Stations Data'!$J$8+SUM($D263:W263)+SUM($D264:W264)-SUM(Demand!$B14:U14)</f>
        <v>61942.489164572835</v>
      </c>
      <c r="X45" s="95">
        <f>'Stations Data'!$J$8+SUM($D263:X263)+SUM($D264:X264)-SUM(Demand!$B14:V14)</f>
        <v>60084.933426612813</v>
      </c>
      <c r="Y45" s="95">
        <f>'Stations Data'!$J$8+SUM($D263:Y263)+SUM($D264:Y264)-SUM(Demand!$B14:W14)</f>
        <v>58158.044395484991</v>
      </c>
      <c r="Z45" s="95">
        <f>'Stations Data'!$J$8+SUM($D263:Z263)+SUM($D264:Z264)-SUM(Demand!$B14:X14)</f>
        <v>56346.710852970195</v>
      </c>
      <c r="AA45" s="95">
        <f>'Stations Data'!$J$8+SUM($D263:AA263)+SUM($D264:AA264)-SUM(Demand!$B14:Y14)</f>
        <v>54539.999529999986</v>
      </c>
    </row>
    <row r="46" spans="1:27" x14ac:dyDescent="0.35">
      <c r="A46" s="105"/>
      <c r="B46" s="105"/>
      <c r="C46" s="76" t="s">
        <v>34</v>
      </c>
      <c r="D46" s="93">
        <f>SUM(D263:AA263)/4545</f>
        <v>12.145214521452145</v>
      </c>
      <c r="E46" s="95" t="s">
        <v>35</v>
      </c>
      <c r="F46" s="95">
        <f>SUM(D264:AA264)/4545</f>
        <v>13.17478537513751</v>
      </c>
      <c r="G46" s="95" t="s">
        <v>36</v>
      </c>
      <c r="H46" s="95">
        <f>D46+F46</f>
        <v>25.319999896589657</v>
      </c>
      <c r="I46" s="93" t="s">
        <v>5</v>
      </c>
      <c r="J46" s="95"/>
      <c r="K46" s="95"/>
      <c r="L46" s="95">
        <v>27658.294860000002</v>
      </c>
      <c r="M46" s="93" t="s">
        <v>6</v>
      </c>
      <c r="N46" s="95"/>
      <c r="O46" s="95">
        <v>4161.0435354830388</v>
      </c>
      <c r="P46" s="95"/>
      <c r="Q46" s="96" t="s">
        <v>29</v>
      </c>
      <c r="S46" s="93">
        <v>0</v>
      </c>
      <c r="T46" s="95"/>
      <c r="U46" s="95"/>
      <c r="V46" s="95"/>
      <c r="W46" s="93" t="s">
        <v>67</v>
      </c>
      <c r="X46" s="95"/>
      <c r="Y46" s="95"/>
      <c r="Z46" s="95"/>
      <c r="AA46" s="95"/>
    </row>
    <row r="47" spans="1:27" x14ac:dyDescent="0.35">
      <c r="A47" s="107" t="s">
        <v>176</v>
      </c>
      <c r="B47" s="107" t="s">
        <v>177</v>
      </c>
      <c r="C47" s="76" t="s">
        <v>45</v>
      </c>
      <c r="D47" s="95">
        <f>SUM($D265:D265)-SUM($D266:D266)</f>
        <v>-500</v>
      </c>
      <c r="E47" s="95">
        <f>SUM($D265:E265)-SUM($D266:E266)</f>
        <v>-1000</v>
      </c>
      <c r="F47" s="95">
        <f>SUM($D265:F265)-SUM($D266:F266)</f>
        <v>-1500</v>
      </c>
      <c r="G47" s="95">
        <f>SUM($D265:G265)-SUM($D266:G266)</f>
        <v>-2000</v>
      </c>
      <c r="H47" s="95">
        <f>SUM($D265:H265)-SUM($D266:H266)</f>
        <v>-2500</v>
      </c>
      <c r="I47" s="95">
        <f>SUM($D265:I265)-SUM($D266:I266)</f>
        <v>-3000</v>
      </c>
      <c r="J47" s="95">
        <f>SUM($D265:J265)-SUM($D266:J266)</f>
        <v>-3500</v>
      </c>
      <c r="K47" s="95">
        <f>SUM($D265:K265)-SUM($D266:K266)</f>
        <v>-4000</v>
      </c>
      <c r="L47" s="95">
        <f>SUM($D265:L265)-SUM($D266:L266)</f>
        <v>-4500</v>
      </c>
      <c r="M47" s="95">
        <f>SUM($D265:M265)-SUM($D266:M266)</f>
        <v>3000</v>
      </c>
      <c r="N47" s="95">
        <f>SUM($D265:N265)-SUM($D266:N266)</f>
        <v>2500</v>
      </c>
      <c r="O47" s="95">
        <f>SUM($D265:O265)-SUM($D266:O266)</f>
        <v>2000</v>
      </c>
      <c r="P47" s="95">
        <f>SUM($D265:P265)-SUM($D266:P266)</f>
        <v>1500</v>
      </c>
      <c r="Q47" s="95">
        <f>SUM($D265:Q265)-SUM($D266:Q266)</f>
        <v>1000</v>
      </c>
      <c r="R47" s="95">
        <f>SUM($D265:R265)-SUM($D266:R266)</f>
        <v>500</v>
      </c>
      <c r="S47" s="95">
        <f>SUM($D265:S265)-SUM($D266:S266)</f>
        <v>0</v>
      </c>
      <c r="T47" s="95">
        <f>SUM($D265:T265)-SUM($D266:T266)</f>
        <v>-500</v>
      </c>
      <c r="U47" s="95">
        <f>SUM($D265:U265)-SUM($D266:U266)</f>
        <v>-1000</v>
      </c>
      <c r="V47" s="95">
        <f>SUM($D265:V265)-SUM($D266:V266)</f>
        <v>-1500</v>
      </c>
      <c r="W47" s="95">
        <f>SUM($D265:W265)-SUM($D266:W266)</f>
        <v>-2000</v>
      </c>
      <c r="X47" s="95">
        <f>SUM($D265:X265)-SUM($D266:X266)</f>
        <v>-2500</v>
      </c>
      <c r="Y47" s="95">
        <f>SUM($D265:Y265)-SUM($D266:Y266)</f>
        <v>-3000</v>
      </c>
      <c r="Z47" s="95">
        <f>SUM($D265:Z265)-SUM($D266:Z266)</f>
        <v>-3500</v>
      </c>
      <c r="AA47" s="95">
        <f>SUM($D265:AA265)-SUM($D266:AA266)</f>
        <v>1641</v>
      </c>
    </row>
    <row r="48" spans="1:27" x14ac:dyDescent="0.35">
      <c r="A48" s="107"/>
      <c r="B48" s="107"/>
      <c r="C48" s="76" t="s">
        <v>46</v>
      </c>
      <c r="D48" s="95">
        <f>'Stations Data'!$H9-'Stations Data'!$J9+SUM(Demand!$B16:B16)</f>
        <v>-36360</v>
      </c>
      <c r="E48" s="95">
        <f>'Stations Data'!$H9-'Stations Data'!$J9+SUM(Demand!$B16:C16)</f>
        <v>-36360</v>
      </c>
      <c r="F48" s="95">
        <f>'Stations Data'!$H9-'Stations Data'!$J9+SUM(Demand!$B16:D16)</f>
        <v>-36360</v>
      </c>
      <c r="G48" s="95">
        <f>'Stations Data'!$H9-'Stations Data'!$J9+SUM(Demand!$B16:E16)</f>
        <v>-36360</v>
      </c>
      <c r="H48" s="95">
        <f>'Stations Data'!$H9-'Stations Data'!$J9+SUM(Demand!$B16:F16)</f>
        <v>-36360</v>
      </c>
      <c r="I48" s="95">
        <f>'Stations Data'!$H9-'Stations Data'!$J9+SUM(Demand!$B16:G16)</f>
        <v>-36360</v>
      </c>
      <c r="J48" s="95">
        <f>'Stations Data'!$H9-'Stations Data'!$J9+SUM(Demand!$B16:H16)</f>
        <v>-36360</v>
      </c>
      <c r="K48" s="95">
        <f>'Stations Data'!$H9-'Stations Data'!$J9+SUM(Demand!$B16:I16)</f>
        <v>-36360</v>
      </c>
      <c r="L48" s="95">
        <f>'Stations Data'!$H9-'Stations Data'!$J9+SUM(Demand!$B16:J16)</f>
        <v>-36360</v>
      </c>
      <c r="M48" s="95">
        <f>'Stations Data'!$H9-'Stations Data'!$J9+SUM(Demand!$B16:K16)</f>
        <v>-36360</v>
      </c>
      <c r="N48" s="95">
        <f>'Stations Data'!$H9-'Stations Data'!$J9+SUM(Demand!$B16:L16)</f>
        <v>-36360</v>
      </c>
      <c r="O48" s="95">
        <f>'Stations Data'!$H9-'Stations Data'!$J9+SUM(Demand!$B16:M16)</f>
        <v>-36360</v>
      </c>
      <c r="P48" s="95">
        <f>'Stations Data'!$H9-'Stations Data'!$J9+SUM(Demand!$B16:N16)</f>
        <v>-36360</v>
      </c>
      <c r="Q48" s="95">
        <f>'Stations Data'!$H9-'Stations Data'!$J9+SUM(Demand!$B16:O16)</f>
        <v>-36360</v>
      </c>
      <c r="R48" s="95">
        <f>'Stations Data'!$H9-'Stations Data'!$J9+SUM(Demand!$B16:P16)</f>
        <v>-36295</v>
      </c>
      <c r="S48" s="95">
        <f>'Stations Data'!$H9-'Stations Data'!$J9+SUM(Demand!$B16:Q16)</f>
        <v>-36119</v>
      </c>
      <c r="T48" s="95">
        <f>'Stations Data'!$H9-'Stations Data'!$J9+SUM(Demand!$B16:R16)</f>
        <v>-35943</v>
      </c>
      <c r="U48" s="95">
        <f>'Stations Data'!$H9-'Stations Data'!$J9+SUM(Demand!$B16:S16)</f>
        <v>-35767</v>
      </c>
      <c r="V48" s="95">
        <f>'Stations Data'!$H9-'Stations Data'!$J9+SUM(Demand!$B16:T16)</f>
        <v>-35591</v>
      </c>
      <c r="W48" s="95">
        <f>'Stations Data'!$H9-'Stations Data'!$J9+SUM(Demand!$B16:U16)</f>
        <v>-35415</v>
      </c>
      <c r="X48" s="95">
        <f>'Stations Data'!$H9-'Stations Data'!$J9+SUM(Demand!$B16:V16)</f>
        <v>-35241</v>
      </c>
      <c r="Y48" s="95">
        <f>'Stations Data'!$H9-'Stations Data'!$J9+SUM(Demand!$B16:W16)</f>
        <v>-35067</v>
      </c>
      <c r="Z48" s="95">
        <f>'Stations Data'!$H9-'Stations Data'!$J9+SUM(Demand!$B16:X16)</f>
        <v>-34893</v>
      </c>
      <c r="AA48" s="95">
        <f>'Stations Data'!$L9-'Stations Data'!$J9+SUM(Demand!$B16:Y16)</f>
        <v>1641</v>
      </c>
    </row>
    <row r="49" spans="1:27" x14ac:dyDescent="0.35">
      <c r="A49" s="107"/>
      <c r="B49" s="107"/>
      <c r="C49" s="79" t="s">
        <v>47</v>
      </c>
      <c r="D49" s="95">
        <f>'Stations Data'!$N9-'Stations Data'!$J9+SUM(Demand!$B16:B16)</f>
        <v>53771.830985915498</v>
      </c>
      <c r="E49" s="95">
        <f>'Stations Data'!$N9-'Stations Data'!$J9+SUM(Demand!$B16:C16)</f>
        <v>53771.830985915498</v>
      </c>
      <c r="F49" s="95">
        <f>'Stations Data'!$N9-'Stations Data'!$J9+SUM(Demand!$B16:D16)</f>
        <v>53771.830985915498</v>
      </c>
      <c r="G49" s="95">
        <f>'Stations Data'!$N9-'Stations Data'!$J9+SUM(Demand!$B16:E16)</f>
        <v>53771.830985915498</v>
      </c>
      <c r="H49" s="95">
        <f>'Stations Data'!$N9-'Stations Data'!$J9+SUM(Demand!$B16:F16)</f>
        <v>53771.830985915498</v>
      </c>
      <c r="I49" s="95">
        <f>'Stations Data'!$N9-'Stations Data'!$J9+SUM(Demand!$B16:G16)</f>
        <v>53771.830985915498</v>
      </c>
      <c r="J49" s="95">
        <f>'Stations Data'!$N9-'Stations Data'!$J9+SUM(Demand!$B16:H16)</f>
        <v>53771.830985915498</v>
      </c>
      <c r="K49" s="95">
        <f>'Stations Data'!$N9-'Stations Data'!$J9+SUM(Demand!$B16:I16)</f>
        <v>53771.830985915498</v>
      </c>
      <c r="L49" s="95">
        <f>'Stations Data'!$N9-'Stations Data'!$J9+SUM(Demand!$B16:J16)</f>
        <v>53771.830985915498</v>
      </c>
      <c r="M49" s="95">
        <f>'Stations Data'!$N9-'Stations Data'!$J9+SUM(Demand!$B16:K16)</f>
        <v>53771.830985915498</v>
      </c>
      <c r="N49" s="95">
        <f>'Stations Data'!$N9-'Stations Data'!$J9+SUM(Demand!$B16:L16)</f>
        <v>53771.830985915498</v>
      </c>
      <c r="O49" s="95">
        <f>'Stations Data'!$N9-'Stations Data'!$J9+SUM(Demand!$B16:M16)</f>
        <v>53771.830985915498</v>
      </c>
      <c r="P49" s="95">
        <f>'Stations Data'!$N9-'Stations Data'!$J9+SUM(Demand!$B16:N16)</f>
        <v>53771.830985915498</v>
      </c>
      <c r="Q49" s="95">
        <f>'Stations Data'!$N9-'Stations Data'!$J9+SUM(Demand!$B16:O16)</f>
        <v>53771.830985915498</v>
      </c>
      <c r="R49" s="95">
        <f>'Stations Data'!$N9-'Stations Data'!$J9+SUM(Demand!$B16:P16)</f>
        <v>53836.830985915498</v>
      </c>
      <c r="S49" s="95">
        <f>'Stations Data'!$N9-'Stations Data'!$J9+SUM(Demand!$B16:Q16)</f>
        <v>54012.830985915498</v>
      </c>
      <c r="T49" s="95">
        <f>'Stations Data'!$N9-'Stations Data'!$J9+SUM(Demand!$B16:R16)</f>
        <v>54188.830985915498</v>
      </c>
      <c r="U49" s="95">
        <f>'Stations Data'!$N9-'Stations Data'!$J9+SUM(Demand!$B16:S16)</f>
        <v>54364.830985915498</v>
      </c>
      <c r="V49" s="95">
        <f>'Stations Data'!$N9-'Stations Data'!$J9+SUM(Demand!$B16:T16)</f>
        <v>54540.830985915498</v>
      </c>
      <c r="W49" s="95">
        <f>'Stations Data'!$N9-'Stations Data'!$J9+SUM(Demand!$B16:U16)</f>
        <v>54716.830985915498</v>
      </c>
      <c r="X49" s="95">
        <f>'Stations Data'!$N9-'Stations Data'!$J9+SUM(Demand!$B16:V16)</f>
        <v>54890.830985915498</v>
      </c>
      <c r="Y49" s="95">
        <f>'Stations Data'!$N9-'Stations Data'!$J9+SUM(Demand!$B16:W16)</f>
        <v>55064.830985915498</v>
      </c>
      <c r="Z49" s="95">
        <f>'Stations Data'!$N9-'Stations Data'!$J9+SUM(Demand!$B16:X16)</f>
        <v>55238.830985915498</v>
      </c>
      <c r="AA49" s="95">
        <f>'Stations Data'!$N9-'Stations Data'!$J9+SUM(Demand!$B16:Y16)</f>
        <v>55412.830985915498</v>
      </c>
    </row>
    <row r="50" spans="1:27" x14ac:dyDescent="0.35">
      <c r="A50" s="107"/>
      <c r="B50" s="107"/>
      <c r="C50" s="80" t="s">
        <v>57</v>
      </c>
      <c r="D50" s="95">
        <f>'Stations Data'!$D9</f>
        <v>8000</v>
      </c>
      <c r="E50" s="95">
        <f>'Stations Data'!$D9</f>
        <v>8000</v>
      </c>
      <c r="F50" s="95">
        <f>'Stations Data'!$D9</f>
        <v>8000</v>
      </c>
      <c r="G50" s="95">
        <f>'Stations Data'!$D9</f>
        <v>8000</v>
      </c>
      <c r="H50" s="95">
        <f>'Stations Data'!$D9</f>
        <v>8000</v>
      </c>
      <c r="I50" s="95">
        <f>'Stations Data'!$D9</f>
        <v>8000</v>
      </c>
      <c r="J50" s="95">
        <f>'Stations Data'!$D9</f>
        <v>8000</v>
      </c>
      <c r="K50" s="95">
        <f>'Stations Data'!$D9</f>
        <v>8000</v>
      </c>
      <c r="L50" s="95">
        <f>'Stations Data'!$D9</f>
        <v>8000</v>
      </c>
      <c r="M50" s="95">
        <f>'Stations Data'!$D9</f>
        <v>8000</v>
      </c>
      <c r="N50" s="95">
        <f>'Stations Data'!$D9</f>
        <v>8000</v>
      </c>
      <c r="O50" s="95">
        <f>'Stations Data'!$D9</f>
        <v>8000</v>
      </c>
      <c r="P50" s="95">
        <f>'Stations Data'!$D9</f>
        <v>8000</v>
      </c>
      <c r="Q50" s="95">
        <f>'Stations Data'!$D9</f>
        <v>8000</v>
      </c>
      <c r="R50" s="95">
        <f>'Stations Data'!$D9</f>
        <v>8000</v>
      </c>
      <c r="S50" s="95">
        <f>'Stations Data'!$D9</f>
        <v>8000</v>
      </c>
      <c r="T50" s="95">
        <f>'Stations Data'!$D9</f>
        <v>8000</v>
      </c>
      <c r="U50" s="95">
        <f>'Stations Data'!$D9</f>
        <v>8000</v>
      </c>
      <c r="V50" s="95">
        <f>'Stations Data'!$D9</f>
        <v>8000</v>
      </c>
      <c r="W50" s="95">
        <f>'Stations Data'!$D9</f>
        <v>8000</v>
      </c>
      <c r="X50" s="95">
        <f>'Stations Data'!$D9</f>
        <v>8000</v>
      </c>
      <c r="Y50" s="95">
        <f>'Stations Data'!$D9</f>
        <v>8000</v>
      </c>
      <c r="Z50" s="95">
        <f>'Stations Data'!$D9</f>
        <v>8000</v>
      </c>
      <c r="AA50" s="95">
        <f>'Stations Data'!$D9</f>
        <v>8000</v>
      </c>
    </row>
    <row r="51" spans="1:27" x14ac:dyDescent="0.35">
      <c r="A51" s="107"/>
      <c r="B51" s="107"/>
      <c r="C51" s="80" t="s">
        <v>66</v>
      </c>
      <c r="D51" s="95">
        <f>'Stations Data'!$F9</f>
        <v>9000</v>
      </c>
      <c r="E51" s="95">
        <f>'Stations Data'!$F9</f>
        <v>9000</v>
      </c>
      <c r="F51" s="95">
        <f>'Stations Data'!$F9</f>
        <v>9000</v>
      </c>
      <c r="G51" s="95">
        <f>'Stations Data'!$F9</f>
        <v>9000</v>
      </c>
      <c r="H51" s="95">
        <f>'Stations Data'!$F9</f>
        <v>9000</v>
      </c>
      <c r="I51" s="95">
        <f>'Stations Data'!$F9</f>
        <v>9000</v>
      </c>
      <c r="J51" s="95">
        <f>'Stations Data'!$F9</f>
        <v>9000</v>
      </c>
      <c r="K51" s="95">
        <f>'Stations Data'!$F9</f>
        <v>9000</v>
      </c>
      <c r="L51" s="95">
        <f>'Stations Data'!$F9</f>
        <v>9000</v>
      </c>
      <c r="M51" s="95">
        <f>'Stations Data'!$F9</f>
        <v>9000</v>
      </c>
      <c r="N51" s="95">
        <f>'Stations Data'!$F9</f>
        <v>9000</v>
      </c>
      <c r="O51" s="95">
        <f>'Stations Data'!$F9</f>
        <v>9000</v>
      </c>
      <c r="P51" s="95">
        <f>'Stations Data'!$F9</f>
        <v>9000</v>
      </c>
      <c r="Q51" s="95">
        <f>'Stations Data'!$F9</f>
        <v>9000</v>
      </c>
      <c r="R51" s="95">
        <f>'Stations Data'!$F9</f>
        <v>9000</v>
      </c>
      <c r="S51" s="95">
        <f>'Stations Data'!$F9</f>
        <v>9000</v>
      </c>
      <c r="T51" s="95">
        <f>'Stations Data'!$F9</f>
        <v>9000</v>
      </c>
      <c r="U51" s="95">
        <f>'Stations Data'!$F9</f>
        <v>9000</v>
      </c>
      <c r="V51" s="95">
        <f>'Stations Data'!$F9</f>
        <v>9000</v>
      </c>
      <c r="W51" s="95">
        <f>'Stations Data'!$F9</f>
        <v>9000</v>
      </c>
      <c r="X51" s="95">
        <f>'Stations Data'!$F9</f>
        <v>9000</v>
      </c>
      <c r="Y51" s="95">
        <f>'Stations Data'!$F9</f>
        <v>9000</v>
      </c>
      <c r="Z51" s="95">
        <f>'Stations Data'!$F9</f>
        <v>9000</v>
      </c>
      <c r="AA51" s="95">
        <f>'Stations Data'!$F9</f>
        <v>9000</v>
      </c>
    </row>
    <row r="52" spans="1:27" x14ac:dyDescent="0.35">
      <c r="A52" s="107"/>
      <c r="B52" s="107"/>
      <c r="C52" s="82" t="s">
        <v>58</v>
      </c>
      <c r="D52" s="93">
        <f t="shared" ref="D52:U52" si="18">D265</f>
        <v>0</v>
      </c>
      <c r="E52" s="93">
        <f t="shared" si="18"/>
        <v>0</v>
      </c>
      <c r="F52" s="93">
        <f t="shared" si="18"/>
        <v>0</v>
      </c>
      <c r="G52" s="93">
        <f t="shared" si="18"/>
        <v>0</v>
      </c>
      <c r="H52" s="93">
        <f t="shared" si="18"/>
        <v>0</v>
      </c>
      <c r="I52" s="93">
        <f t="shared" si="18"/>
        <v>0</v>
      </c>
      <c r="J52" s="93">
        <f t="shared" si="18"/>
        <v>0</v>
      </c>
      <c r="K52" s="93">
        <f t="shared" si="18"/>
        <v>0</v>
      </c>
      <c r="L52" s="93">
        <f t="shared" si="18"/>
        <v>0</v>
      </c>
      <c r="M52" s="93">
        <f t="shared" si="18"/>
        <v>8000</v>
      </c>
      <c r="N52" s="93">
        <f t="shared" si="18"/>
        <v>0</v>
      </c>
      <c r="O52" s="93">
        <f t="shared" si="18"/>
        <v>0</v>
      </c>
      <c r="P52" s="93">
        <f t="shared" si="18"/>
        <v>0</v>
      </c>
      <c r="Q52" s="93">
        <f t="shared" si="18"/>
        <v>0</v>
      </c>
      <c r="R52" s="93">
        <f t="shared" si="18"/>
        <v>0</v>
      </c>
      <c r="S52" s="93">
        <f t="shared" si="18"/>
        <v>0</v>
      </c>
      <c r="T52" s="93">
        <f t="shared" si="18"/>
        <v>0</v>
      </c>
      <c r="U52" s="93">
        <f t="shared" si="18"/>
        <v>0</v>
      </c>
      <c r="V52" s="93">
        <f t="shared" ref="V52:AA52" si="19">V265</f>
        <v>0</v>
      </c>
      <c r="W52" s="93">
        <f t="shared" si="19"/>
        <v>0</v>
      </c>
      <c r="X52" s="93">
        <f t="shared" si="19"/>
        <v>0</v>
      </c>
      <c r="Y52" s="93">
        <f t="shared" si="19"/>
        <v>0</v>
      </c>
      <c r="Z52" s="93">
        <f t="shared" si="19"/>
        <v>0</v>
      </c>
      <c r="AA52" s="93">
        <f t="shared" si="19"/>
        <v>5641</v>
      </c>
    </row>
    <row r="53" spans="1:27" x14ac:dyDescent="0.35">
      <c r="A53" s="107"/>
      <c r="B53" s="107"/>
      <c r="C53" s="80" t="s">
        <v>48</v>
      </c>
      <c r="D53" s="95">
        <f>'Stations Data'!$J9+SUM($D265:D265)-SUM($D266:D266)-SUM(Demand!$B16:B16)</f>
        <v>108580</v>
      </c>
      <c r="E53" s="95">
        <f>'Stations Data'!$J9+SUM($D265:E265)-SUM($D266:E266)-SUM(Demand!$B16:C16)</f>
        <v>108080</v>
      </c>
      <c r="F53" s="95">
        <f>'Stations Data'!$J9+SUM($D265:F265)-SUM($D266:F266)-SUM(Demand!$B16:D16)</f>
        <v>107580</v>
      </c>
      <c r="G53" s="95">
        <f>'Stations Data'!$J9+SUM($D265:G265)-SUM($D266:G266)-SUM(Demand!$B16:E16)</f>
        <v>107080</v>
      </c>
      <c r="H53" s="95">
        <f>'Stations Data'!$J9+SUM($D265:H265)-SUM($D266:H266)-SUM(Demand!$B16:F16)</f>
        <v>106580</v>
      </c>
      <c r="I53" s="95">
        <f>'Stations Data'!$J9+SUM($D265:I265)-SUM($D266:I266)-SUM(Demand!$B16:G16)</f>
        <v>106080</v>
      </c>
      <c r="J53" s="95">
        <f>'Stations Data'!$J9+SUM($D265:J265)-SUM($D266:J266)-SUM(Demand!$B16:H16)</f>
        <v>105580</v>
      </c>
      <c r="K53" s="95">
        <f>'Stations Data'!$J9+SUM($D265:K265)-SUM($D266:K266)-SUM(Demand!$B16:I16)</f>
        <v>105080</v>
      </c>
      <c r="L53" s="95">
        <f>'Stations Data'!$J9+SUM($D265:L265)-SUM($D266:L266)-SUM(Demand!$B16:J16)</f>
        <v>104580</v>
      </c>
      <c r="M53" s="95">
        <f>'Stations Data'!$J9+SUM($D265:M265)-SUM($D266:M266)-SUM(Demand!$B16:K16)</f>
        <v>112080</v>
      </c>
      <c r="N53" s="95">
        <f>'Stations Data'!$J9+SUM($D265:N265)-SUM($D266:N266)-SUM(Demand!$B16:L16)</f>
        <v>111580</v>
      </c>
      <c r="O53" s="95">
        <f>'Stations Data'!$J9+SUM($D265:O265)-SUM($D266:O266)-SUM(Demand!$B16:M16)</f>
        <v>111080</v>
      </c>
      <c r="P53" s="95">
        <f>'Stations Data'!$J9+SUM($D265:P265)-SUM($D266:P266)-SUM(Demand!$B16:N16)</f>
        <v>110580</v>
      </c>
      <c r="Q53" s="95">
        <f>'Stations Data'!$J9+SUM($D265:Q265)-SUM($D266:Q266)-SUM(Demand!$B16:O16)</f>
        <v>110080</v>
      </c>
      <c r="R53" s="95">
        <f>'Stations Data'!$J9+SUM($D265:R265)-SUM($D266:R266)-SUM(Demand!$B16:P16)</f>
        <v>109515</v>
      </c>
      <c r="S53" s="95">
        <f>'Stations Data'!$J9+SUM($D265:S265)-SUM($D266:S266)-SUM(Demand!$B16:Q16)</f>
        <v>108839</v>
      </c>
      <c r="T53" s="95">
        <f>'Stations Data'!$J9+SUM($D265:T265)-SUM($D266:T266)-SUM(Demand!$B16:R16)</f>
        <v>108163</v>
      </c>
      <c r="U53" s="95">
        <f>'Stations Data'!$J9+SUM($D265:U265)-SUM($D266:U266)-SUM(Demand!$B16:S16)</f>
        <v>107487</v>
      </c>
      <c r="V53" s="95">
        <f>'Stations Data'!$J9+SUM($D265:V265)-SUM($D266:V266)-SUM(Demand!$B16:T16)</f>
        <v>106811</v>
      </c>
      <c r="W53" s="95">
        <f>'Stations Data'!$J9+SUM($D265:W265)-SUM($D266:W266)-SUM(Demand!$B16:U16)</f>
        <v>106135</v>
      </c>
      <c r="X53" s="95">
        <f>'Stations Data'!$J9+SUM($D265:X265)-SUM($D266:X266)-SUM(Demand!$B16:V16)</f>
        <v>105461</v>
      </c>
      <c r="Y53" s="95">
        <f>'Stations Data'!$J9+SUM($D265:Y265)-SUM($D266:Y266)-SUM(Demand!$B16:W16)</f>
        <v>104787</v>
      </c>
      <c r="Z53" s="95">
        <f>'Stations Data'!$J9+SUM($D265:Z265)-SUM($D266:Z266)-SUM(Demand!$B16:X16)</f>
        <v>104113</v>
      </c>
      <c r="AA53" s="95">
        <f>'Stations Data'!$J9+SUM($D265:AA265)-SUM($D266:AA266)-SUM(Demand!$B16:Y16)</f>
        <v>109080</v>
      </c>
    </row>
    <row r="54" spans="1:27" x14ac:dyDescent="0.35">
      <c r="A54" s="107"/>
      <c r="B54" s="107"/>
      <c r="C54" s="82" t="s">
        <v>85</v>
      </c>
      <c r="D54" s="93">
        <f t="shared" ref="D54:U54" si="20">D266</f>
        <v>500</v>
      </c>
      <c r="E54" s="93">
        <f t="shared" si="20"/>
        <v>500</v>
      </c>
      <c r="F54" s="93">
        <f t="shared" si="20"/>
        <v>500</v>
      </c>
      <c r="G54" s="93">
        <f t="shared" si="20"/>
        <v>500</v>
      </c>
      <c r="H54" s="93">
        <f t="shared" si="20"/>
        <v>500</v>
      </c>
      <c r="I54" s="93">
        <f t="shared" si="20"/>
        <v>500</v>
      </c>
      <c r="J54" s="93">
        <f t="shared" si="20"/>
        <v>500</v>
      </c>
      <c r="K54" s="93">
        <f t="shared" si="20"/>
        <v>500</v>
      </c>
      <c r="L54" s="93">
        <f t="shared" si="20"/>
        <v>500</v>
      </c>
      <c r="M54" s="93">
        <f t="shared" si="20"/>
        <v>500</v>
      </c>
      <c r="N54" s="93">
        <f t="shared" si="20"/>
        <v>500</v>
      </c>
      <c r="O54" s="93">
        <f t="shared" si="20"/>
        <v>500</v>
      </c>
      <c r="P54" s="93">
        <f t="shared" si="20"/>
        <v>500</v>
      </c>
      <c r="Q54" s="93">
        <f t="shared" si="20"/>
        <v>500</v>
      </c>
      <c r="R54" s="93">
        <f t="shared" si="20"/>
        <v>500</v>
      </c>
      <c r="S54" s="93">
        <f t="shared" si="20"/>
        <v>500</v>
      </c>
      <c r="T54" s="93">
        <f t="shared" si="20"/>
        <v>500</v>
      </c>
      <c r="U54" s="93">
        <f t="shared" si="20"/>
        <v>500</v>
      </c>
      <c r="V54" s="93">
        <f t="shared" ref="V54:AA54" si="21">V266</f>
        <v>500</v>
      </c>
      <c r="W54" s="93">
        <f t="shared" si="21"/>
        <v>500</v>
      </c>
      <c r="X54" s="93">
        <f t="shared" si="21"/>
        <v>500</v>
      </c>
      <c r="Y54" s="93">
        <f t="shared" si="21"/>
        <v>500</v>
      </c>
      <c r="Z54" s="93">
        <f t="shared" si="21"/>
        <v>500</v>
      </c>
      <c r="AA54" s="93">
        <f t="shared" si="21"/>
        <v>500</v>
      </c>
    </row>
    <row r="55" spans="1:27" s="45" customFormat="1" x14ac:dyDescent="0.35">
      <c r="A55" s="107"/>
      <c r="B55" s="105" t="s">
        <v>178</v>
      </c>
      <c r="C55" s="78" t="s">
        <v>32</v>
      </c>
      <c r="D55" s="92">
        <f>'Stations Data'!$B$11*Demand!B$2</f>
        <v>0.11887387287935446</v>
      </c>
      <c r="E55" s="92">
        <f>'Stations Data'!$B$11*Demand!C$2</f>
        <v>0.11887387287935446</v>
      </c>
      <c r="F55" s="92">
        <f>'Stations Data'!$B$11*Demand!D$2</f>
        <v>0.11887387287935446</v>
      </c>
      <c r="G55" s="92">
        <f>'Stations Data'!$B$11*Demand!E$2</f>
        <v>0.11887387287935446</v>
      </c>
      <c r="H55" s="92">
        <f>'Stations Data'!$B$11*Demand!F$2</f>
        <v>0.11887387287935446</v>
      </c>
      <c r="I55" s="92">
        <f>'Stations Data'!$B$11*Demand!G$2</f>
        <v>0.11887387287935446</v>
      </c>
      <c r="J55" s="92">
        <f>'Stations Data'!$B$11*Demand!H$2</f>
        <v>0.11887387287935446</v>
      </c>
      <c r="K55" s="92">
        <f>'Stations Data'!$B$11*Demand!I$2</f>
        <v>0.11887387287935446</v>
      </c>
      <c r="L55" s="92">
        <f>'Stations Data'!$B$11*Demand!J$2</f>
        <v>0.11887387287935446</v>
      </c>
      <c r="M55" s="92">
        <f>'Stations Data'!$B$11*Demand!K$2</f>
        <v>0.11887387287935446</v>
      </c>
      <c r="N55" s="92">
        <f>'Stations Data'!$B$11*Demand!L$2</f>
        <v>0.11887387287935446</v>
      </c>
      <c r="O55" s="92">
        <f>'Stations Data'!$B$11*Demand!M$2</f>
        <v>0.11887387287935446</v>
      </c>
      <c r="P55" s="92">
        <f>'Stations Data'!$B$11*Demand!N$2</f>
        <v>0.11887387287935446</v>
      </c>
      <c r="Q55" s="92">
        <f>'Stations Data'!$B$11*Demand!O$2</f>
        <v>0.11887387287935446</v>
      </c>
      <c r="R55" s="92">
        <f>'Stations Data'!$B$11*Demand!P$2</f>
        <v>0.11887387287935446</v>
      </c>
      <c r="S55" s="92">
        <f>'Stations Data'!$B$11*Demand!Q$2</f>
        <v>0.11887387287935446</v>
      </c>
      <c r="T55" s="92">
        <f>'Stations Data'!$B$11*Demand!R$2</f>
        <v>0.11887387287935446</v>
      </c>
      <c r="U55" s="92">
        <f>'Stations Data'!$B$11*Demand!S$2</f>
        <v>0.11887387287935446</v>
      </c>
      <c r="V55" s="92">
        <f>'Stations Data'!$B$11*Demand!T$2</f>
        <v>0.11887387287935446</v>
      </c>
      <c r="W55" s="92">
        <f>'Stations Data'!$B$11*Demand!U$2</f>
        <v>0.11887387287935446</v>
      </c>
      <c r="X55" s="92">
        <f>'Stations Data'!$B$11*Demand!V$2</f>
        <v>0.11887387287935446</v>
      </c>
      <c r="Y55" s="92">
        <f>'Stations Data'!$B$11*Demand!W$2</f>
        <v>0.11887387287935446</v>
      </c>
      <c r="Z55" s="92">
        <f>'Stations Data'!$B$11*Demand!X$2</f>
        <v>0.11887387287935446</v>
      </c>
      <c r="AA55" s="92">
        <f>'Stations Data'!$B$11*Demand!Y$2</f>
        <v>0.11887387287935446</v>
      </c>
    </row>
    <row r="56" spans="1:27" x14ac:dyDescent="0.35">
      <c r="A56" s="107"/>
      <c r="B56" s="105"/>
      <c r="C56" s="79" t="s">
        <v>45</v>
      </c>
      <c r="D56" s="93">
        <f>SUM($D259:D259)+SUM($D266:D266)-SUM($D268:D268)</f>
        <v>670.68780000000061</v>
      </c>
      <c r="E56" s="93">
        <f>SUM($D259:E259)+SUM($D266:E266)-SUM($D268:E268)</f>
        <v>1341.3756000000012</v>
      </c>
      <c r="F56" s="93">
        <f>SUM($D259:F259)+SUM($D266:F266)-SUM($D268:F268)</f>
        <v>2012.0633999999991</v>
      </c>
      <c r="G56" s="93">
        <f>SUM($D259:G259)+SUM($D266:G266)-SUM($D268:G268)</f>
        <v>2682.7512000000024</v>
      </c>
      <c r="H56" s="93">
        <f>SUM($D259:H259)+SUM($D266:H266)-SUM($D268:H268)</f>
        <v>3353.4389999999985</v>
      </c>
      <c r="I56" s="93">
        <f>SUM($D259:I259)+SUM($D266:I266)-SUM($D268:I268)</f>
        <v>4024.1267999999982</v>
      </c>
      <c r="J56" s="93">
        <f>SUM($D259:J259)+SUM($D266:J266)-SUM($D268:J268)</f>
        <v>4694.8145999999979</v>
      </c>
      <c r="K56" s="93">
        <f>SUM($D259:K259)+SUM($D266:K266)-SUM($D268:K268)</f>
        <v>4365.5023999999976</v>
      </c>
      <c r="L56" s="93">
        <f>SUM($D259:L259)+SUM($D266:L266)-SUM($D268:L268)</f>
        <v>4036.1901999999973</v>
      </c>
      <c r="M56" s="93">
        <f>SUM($D259:M259)+SUM($D266:M266)-SUM($D268:M268)</f>
        <v>3706.877999999997</v>
      </c>
      <c r="N56" s="93">
        <f>SUM($D259:N259)+SUM($D266:N266)-SUM($D268:N268)</f>
        <v>3377.5657999999967</v>
      </c>
      <c r="O56" s="93">
        <f>SUM($D259:O259)+SUM($D266:O266)-SUM($D268:O268)</f>
        <v>3048.2535999999964</v>
      </c>
      <c r="P56" s="93">
        <f>SUM($D259:P259)+SUM($D266:P266)-SUM($D268:P268)</f>
        <v>2718.9413999999961</v>
      </c>
      <c r="Q56" s="93">
        <f>SUM($D259:Q259)+SUM($D266:Q266)-SUM($D268:Q268)</f>
        <v>2389.6291999999958</v>
      </c>
      <c r="R56" s="93">
        <f>SUM($D259:R259)+SUM($D266:R266)-SUM($D268:R268)</f>
        <v>2060.3169999999955</v>
      </c>
      <c r="S56" s="93">
        <f>SUM($D259:S259)+SUM($D266:S266)-SUM($D268:S268)</f>
        <v>1731.0047999999952</v>
      </c>
      <c r="T56" s="93">
        <f>SUM($D259:T259)+SUM($D266:T266)-SUM($D268:T268)</f>
        <v>1401.6926000000094</v>
      </c>
      <c r="U56" s="93">
        <f>SUM($D259:U259)+SUM($D266:U266)-SUM($D268:U268)</f>
        <v>1072.3803999999946</v>
      </c>
      <c r="V56" s="93">
        <f>SUM($D259:V259)+SUM($D266:V266)-SUM($D268:V268)</f>
        <v>743.0681999999797</v>
      </c>
      <c r="W56" s="93">
        <f>SUM($D259:W259)+SUM($D266:W266)-SUM($D268:W268)</f>
        <v>413.75599999996484</v>
      </c>
      <c r="X56" s="93">
        <f>SUM($D259:X259)+SUM($D266:X266)-SUM($D268:X268)</f>
        <v>3071.4045999999507</v>
      </c>
      <c r="Y56" s="93">
        <f>SUM($D259:Y259)+SUM($D266:Y266)-SUM($D268:Y268)</f>
        <v>5729.0531999999366</v>
      </c>
      <c r="Z56" s="93">
        <f>SUM($D259:Z259)+SUM($D266:Z266)-SUM($D268:Z268)</f>
        <v>8386.7017999999225</v>
      </c>
      <c r="AA56" s="93">
        <f>SUM($D259:AA259)+SUM($D266:AA266)-SUM($D268:AA268)</f>
        <v>11044.350399999908</v>
      </c>
    </row>
    <row r="57" spans="1:27" x14ac:dyDescent="0.35">
      <c r="A57" s="107"/>
      <c r="B57" s="105"/>
      <c r="C57" s="79" t="s">
        <v>46</v>
      </c>
      <c r="D57" s="93">
        <f>'Stations Data'!$H$10-'Stations Data'!$J$10+SUM(Demand!$B15:B15)</f>
        <v>-8759.0575015499071</v>
      </c>
      <c r="E57" s="93">
        <f>'Stations Data'!$H$10-'Stations Data'!$J$10+SUM(Demand!$B15:C15)</f>
        <v>-8463.4916150031004</v>
      </c>
      <c r="F57" s="93">
        <f>'Stations Data'!$H$10-'Stations Data'!$J$10+SUM(Demand!$B15:D15)</f>
        <v>-8171.3492715437069</v>
      </c>
      <c r="G57" s="93">
        <f>'Stations Data'!$H$10-'Stations Data'!$J$10+SUM(Demand!$B15:E15)</f>
        <v>-7889.4775573465595</v>
      </c>
      <c r="H57" s="93">
        <f>'Stations Data'!$H$10-'Stations Data'!$J$10+SUM(Demand!$B15:F15)</f>
        <v>-7582.4998605083692</v>
      </c>
      <c r="I57" s="93">
        <f>'Stations Data'!$H$10-'Stations Data'!$J$10+SUM(Demand!$B15:G15)</f>
        <v>-7282.3692498450091</v>
      </c>
      <c r="J57" s="93">
        <f>'Stations Data'!$H$10-'Stations Data'!$J$10+SUM(Demand!$B15:H15)</f>
        <v>-6971.9680099194047</v>
      </c>
      <c r="K57" s="93">
        <f>'Stations Data'!$H$10-'Stations Data'!$J$10+SUM(Demand!$B15:I15)</f>
        <v>-6528.048589584625</v>
      </c>
      <c r="L57" s="93">
        <f>'Stations Data'!$H$10-'Stations Data'!$J$10+SUM(Demand!$B15:J15)</f>
        <v>-5963.1639801611909</v>
      </c>
      <c r="M57" s="93">
        <f>'Stations Data'!$H$10-'Stations Data'!$J$10+SUM(Demand!$B15:K15)</f>
        <v>-5340.0791382517054</v>
      </c>
      <c r="N57" s="93">
        <f>'Stations Data'!$H$10-'Stations Data'!$J$10+SUM(Demand!$B15:L15)</f>
        <v>-4709.0060291382515</v>
      </c>
      <c r="O57" s="93">
        <f>'Stations Data'!$H$10-'Stations Data'!$J$10+SUM(Demand!$B15:M15)</f>
        <v>-4077.9329200247985</v>
      </c>
      <c r="P57" s="93">
        <f>'Stations Data'!$H$10-'Stations Data'!$J$10+SUM(Demand!$B15:N15)</f>
        <v>-3448.0009919404838</v>
      </c>
      <c r="Q57" s="93">
        <f>'Stations Data'!$H$10-'Stations Data'!$J$10+SUM(Demand!$B15:O15)</f>
        <v>-2822.6337879727216</v>
      </c>
      <c r="R57" s="93">
        <f>'Stations Data'!$H$10-'Stations Data'!$J$10+SUM(Demand!$B15:P15)</f>
        <v>-2201.8313081215128</v>
      </c>
      <c r="S57" s="93">
        <f>'Stations Data'!$H$10-'Stations Data'!$J$10+SUM(Demand!$B15:Q15)</f>
        <v>-1666.6174054556723</v>
      </c>
      <c r="T57" s="93">
        <f>'Stations Data'!$H$10-'Stations Data'!$J$10+SUM(Demand!$B15:R15)</f>
        <v>-1134.8270458772467</v>
      </c>
      <c r="U57" s="93">
        <f>'Stations Data'!$H$10-'Stations Data'!$J$10+SUM(Demand!$B15:S15)</f>
        <v>-582.49542777433271</v>
      </c>
      <c r="V57" s="93">
        <f>'Stations Data'!$H$10-'Stations Data'!$J$10+SUM(Demand!$B15:T15)</f>
        <v>-76.952231866087459</v>
      </c>
      <c r="W57" s="93">
        <f>'Stations Data'!$H$10-'Stations Data'!$J$10+SUM(Demand!$B15:U15)</f>
        <v>413.75561066336013</v>
      </c>
      <c r="X57" s="93">
        <f>'Stations Data'!$H$10-'Stations Data'!$J$10+SUM(Demand!$B15:V15)</f>
        <v>865.6632982021074</v>
      </c>
      <c r="Y57" s="93">
        <f>'Stations Data'!$H$10-'Stations Data'!$J$10+SUM(Demand!$B15:W15)</f>
        <v>1317.5709857408547</v>
      </c>
      <c r="Z57" s="93">
        <f>'Stations Data'!$H$10-'Stations Data'!$J$10+SUM(Demand!$B15:X15)</f>
        <v>1665.6311996280219</v>
      </c>
      <c r="AA57" s="93">
        <f>'Stations Data'!L$10-'Stations Data'!$J$10+SUM(Demand!$B15:Y15)</f>
        <v>11044.35</v>
      </c>
    </row>
    <row r="58" spans="1:27" x14ac:dyDescent="0.35">
      <c r="A58" s="107"/>
      <c r="B58" s="105"/>
      <c r="C58" s="79" t="s">
        <v>47</v>
      </c>
      <c r="D58" s="93">
        <f>'Stations Data'!$N$10-'Stations Data'!$J$10+SUM(Demand!$B15:B15)</f>
        <v>13965.942498450093</v>
      </c>
      <c r="E58" s="93">
        <f>'Stations Data'!$N$10-'Stations Data'!$J$10+SUM(Demand!$B15:C15)</f>
        <v>14261.5083849969</v>
      </c>
      <c r="F58" s="93">
        <f>'Stations Data'!$N$10-'Stations Data'!$J$10+SUM(Demand!$B15:D15)</f>
        <v>14553.650728456292</v>
      </c>
      <c r="G58" s="93">
        <f>'Stations Data'!$N$10-'Stations Data'!$J$10+SUM(Demand!$B15:E15)</f>
        <v>14835.522442653441</v>
      </c>
      <c r="H58" s="93">
        <f>'Stations Data'!$N$10-'Stations Data'!$J$10+SUM(Demand!$B15:F15)</f>
        <v>15142.500139491631</v>
      </c>
      <c r="I58" s="93">
        <f>'Stations Data'!$N$10-'Stations Data'!$J$10+SUM(Demand!$B15:G15)</f>
        <v>15442.630750154991</v>
      </c>
      <c r="J58" s="93">
        <f>'Stations Data'!$N$10-'Stations Data'!$J$10+SUM(Demand!$B15:H15)</f>
        <v>15753.031990080595</v>
      </c>
      <c r="K58" s="93">
        <f>'Stations Data'!$N$10-'Stations Data'!$J$10+SUM(Demand!$B15:I15)</f>
        <v>16196.951410415375</v>
      </c>
      <c r="L58" s="93">
        <f>'Stations Data'!$N$10-'Stations Data'!$J$10+SUM(Demand!$B15:J15)</f>
        <v>16761.836019838811</v>
      </c>
      <c r="M58" s="93">
        <f>'Stations Data'!$N$10-'Stations Data'!$J$10+SUM(Demand!$B15:K15)</f>
        <v>17384.920861748295</v>
      </c>
      <c r="N58" s="93">
        <f>'Stations Data'!$N$10-'Stations Data'!$J$10+SUM(Demand!$B15:L15)</f>
        <v>18015.993970861749</v>
      </c>
      <c r="O58" s="93">
        <f>'Stations Data'!$N$10-'Stations Data'!$J$10+SUM(Demand!$B15:M15)</f>
        <v>18647.067079975201</v>
      </c>
      <c r="P58" s="93">
        <f>'Stations Data'!$N$10-'Stations Data'!$J$10+SUM(Demand!$B15:N15)</f>
        <v>19276.999008059516</v>
      </c>
      <c r="Q58" s="93">
        <f>'Stations Data'!$N$10-'Stations Data'!$J$10+SUM(Demand!$B15:O15)</f>
        <v>19902.366212027278</v>
      </c>
      <c r="R58" s="93">
        <f>'Stations Data'!$N$10-'Stations Data'!$J$10+SUM(Demand!$B15:P15)</f>
        <v>20523.168691878487</v>
      </c>
      <c r="S58" s="93">
        <f>'Stations Data'!$N$10-'Stations Data'!$J$10+SUM(Demand!$B15:Q15)</f>
        <v>21058.382594544328</v>
      </c>
      <c r="T58" s="93">
        <f>'Stations Data'!$N$10-'Stations Data'!$J$10+SUM(Demand!$B15:R15)</f>
        <v>21590.172954122754</v>
      </c>
      <c r="U58" s="93">
        <f>'Stations Data'!$N$10-'Stations Data'!$J$10+SUM(Demand!$B15:S15)</f>
        <v>22142.504572225669</v>
      </c>
      <c r="V58" s="93">
        <f>'Stations Data'!$N$10-'Stations Data'!$J$10+SUM(Demand!$B15:T15)</f>
        <v>22648.047768133911</v>
      </c>
      <c r="W58" s="93">
        <f>'Stations Data'!$N$10-'Stations Data'!$J$10+SUM(Demand!$B15:U15)</f>
        <v>23138.75561066336</v>
      </c>
      <c r="X58" s="93">
        <f>'Stations Data'!$N$10-'Stations Data'!$J$10+SUM(Demand!$B15:V15)</f>
        <v>23590.663298202107</v>
      </c>
      <c r="Y58" s="93">
        <f>'Stations Data'!$N$10-'Stations Data'!$J$10+SUM(Demand!$B15:W15)</f>
        <v>24042.570985740855</v>
      </c>
      <c r="Z58" s="93">
        <f>'Stations Data'!$N$10-'Stations Data'!$J$10+SUM(Demand!$B15:X15)</f>
        <v>24390.63119962802</v>
      </c>
      <c r="AA58" s="93">
        <f>'Stations Data'!$N$10-'Stations Data'!$J$10+SUM(Demand!$B15:Y15)</f>
        <v>24679.35</v>
      </c>
    </row>
    <row r="59" spans="1:27" x14ac:dyDescent="0.35">
      <c r="A59" s="107"/>
      <c r="B59" s="105"/>
      <c r="C59" s="79" t="s">
        <v>59</v>
      </c>
      <c r="D59" s="93">
        <f>IF('Stations Data'!$E$11&gt;SUM(Demand!B17:B18),'Stations Data'!$E$11,SUM(Demand!B17:B18))</f>
        <v>2000</v>
      </c>
      <c r="E59" s="93">
        <f>IF('Stations Data'!$E$11&gt;SUM(Demand!C17:C18),'Stations Data'!$E$11,SUM(Demand!C17:C18))</f>
        <v>2000</v>
      </c>
      <c r="F59" s="93">
        <f>IF('Stations Data'!$E$11&gt;SUM(Demand!D17:D18),'Stations Data'!$E$11,SUM(Demand!D17:D18))</f>
        <v>2000</v>
      </c>
      <c r="G59" s="93">
        <f>IF('Stations Data'!$E$11&gt;SUM(Demand!E17:E18),'Stations Data'!$E$11,SUM(Demand!E17:E18))</f>
        <v>2000</v>
      </c>
      <c r="H59" s="93">
        <f>IF('Stations Data'!$E$11&gt;SUM(Demand!F17:F18),'Stations Data'!$E$11,SUM(Demand!F17:F18))</f>
        <v>2000</v>
      </c>
      <c r="I59" s="93">
        <f>IF('Stations Data'!$E$11&gt;SUM(Demand!G17:G18),'Stations Data'!$E$11,SUM(Demand!G17:G18))</f>
        <v>2000</v>
      </c>
      <c r="J59" s="93">
        <f>IF('Stations Data'!$E$11&gt;SUM(Demand!H17:H18),'Stations Data'!$E$11,SUM(Demand!H17:H18))</f>
        <v>2000</v>
      </c>
      <c r="K59" s="93">
        <f>IF('Stations Data'!$E$11&gt;SUM(Demand!I17:I18),'Stations Data'!$E$11,SUM(Demand!I17:I18))</f>
        <v>2000</v>
      </c>
      <c r="L59" s="93">
        <f>IF('Stations Data'!$E$11&gt;SUM(Demand!J17:J18),'Stations Data'!$E$11,SUM(Demand!J17:J18))</f>
        <v>2000</v>
      </c>
      <c r="M59" s="93">
        <f>IF('Stations Data'!$E$11&gt;SUM(Demand!K17:K18),'Stations Data'!$E$11,SUM(Demand!K17:K18))</f>
        <v>2000</v>
      </c>
      <c r="N59" s="93">
        <f>IF('Stations Data'!$E$11&gt;SUM(Demand!L17:L18),'Stations Data'!$E$11,SUM(Demand!L17:L18))</f>
        <v>2000</v>
      </c>
      <c r="O59" s="93">
        <f>IF('Stations Data'!$E$11&gt;SUM(Demand!M17:M18),'Stations Data'!$E$11,SUM(Demand!M17:M18))</f>
        <v>2000</v>
      </c>
      <c r="P59" s="93">
        <f>IF('Stations Data'!$E$11&gt;SUM(Demand!N17:N18),'Stations Data'!$E$11,SUM(Demand!N17:N18))</f>
        <v>2000</v>
      </c>
      <c r="Q59" s="93">
        <f>IF('Stations Data'!$E$11&gt;SUM(Demand!O17:O18),'Stations Data'!$E$11,SUM(Demand!O17:O18))</f>
        <v>2000</v>
      </c>
      <c r="R59" s="93">
        <f>IF('Stations Data'!$E$11&gt;SUM(Demand!P17:P18),'Stations Data'!$E$11,SUM(Demand!P17:P18))</f>
        <v>2000</v>
      </c>
      <c r="S59" s="93">
        <f>IF('Stations Data'!$E$11&gt;SUM(Demand!Q17:Q18),'Stations Data'!$E$11,SUM(Demand!Q17:Q18))</f>
        <v>2000</v>
      </c>
      <c r="T59" s="93">
        <f>IF('Stations Data'!$E$11&gt;SUM(Demand!R17:R18),'Stations Data'!$E$11,SUM(Demand!R17:R18))</f>
        <v>2000</v>
      </c>
      <c r="U59" s="93">
        <f>IF('Stations Data'!$E$11&gt;SUM(Demand!S17:S18),'Stations Data'!$E$11,SUM(Demand!S17:S18))</f>
        <v>2000</v>
      </c>
      <c r="V59" s="93">
        <f>IF('Stations Data'!$E$11&gt;SUM(Demand!T17:T18),'Stations Data'!$E$11,SUM(Demand!T17:T18))</f>
        <v>2000</v>
      </c>
      <c r="W59" s="93">
        <f>IF('Stations Data'!$E$11&gt;SUM(Demand!U17:U18),'Stations Data'!$E$11,SUM(Demand!U17:U18))</f>
        <v>2000</v>
      </c>
      <c r="X59" s="93">
        <f>IF('Stations Data'!$E$11&gt;SUM(Demand!V17:V18),'Stations Data'!$E$11,SUM(Demand!V17:V18))</f>
        <v>2000</v>
      </c>
      <c r="Y59" s="93">
        <f>IF('Stations Data'!$E$11&gt;SUM(Demand!W17:W18),'Stations Data'!$E$11,SUM(Demand!W17:W18))</f>
        <v>2000</v>
      </c>
      <c r="Z59" s="93">
        <f>IF('Stations Data'!$E$11&gt;SUM(Demand!X17:X18),'Stations Data'!$E$11,SUM(Demand!X17:X18))</f>
        <v>2000</v>
      </c>
      <c r="AA59" s="93">
        <f>IF('Stations Data'!$E$11&gt;SUM(Demand!Y17:Y18),'Stations Data'!$E$11,SUM(Demand!Y17:Y18))</f>
        <v>2000</v>
      </c>
    </row>
    <row r="60" spans="1:27" x14ac:dyDescent="0.35">
      <c r="A60" s="107"/>
      <c r="B60" s="105"/>
      <c r="C60" s="79" t="s">
        <v>60</v>
      </c>
      <c r="D60" s="93">
        <f>'Stations Data'!$F11</f>
        <v>13000</v>
      </c>
      <c r="E60" s="93">
        <f>'Stations Data'!$F11</f>
        <v>13000</v>
      </c>
      <c r="F60" s="93">
        <f>'Stations Data'!$F11</f>
        <v>13000</v>
      </c>
      <c r="G60" s="93">
        <f>'Stations Data'!$F11</f>
        <v>13000</v>
      </c>
      <c r="H60" s="93">
        <f>'Stations Data'!$F11</f>
        <v>13000</v>
      </c>
      <c r="I60" s="93">
        <f>'Stations Data'!$F11</f>
        <v>13000</v>
      </c>
      <c r="J60" s="93">
        <f>'Stations Data'!$F11</f>
        <v>13000</v>
      </c>
      <c r="K60" s="93">
        <f>'Stations Data'!$F11</f>
        <v>13000</v>
      </c>
      <c r="L60" s="93">
        <f>'Stations Data'!$F11</f>
        <v>13000</v>
      </c>
      <c r="M60" s="93">
        <f>'Stations Data'!$F11</f>
        <v>13000</v>
      </c>
      <c r="N60" s="93">
        <f>'Stations Data'!$F11</f>
        <v>13000</v>
      </c>
      <c r="O60" s="93">
        <f>'Stations Data'!$F11</f>
        <v>13000</v>
      </c>
      <c r="P60" s="93">
        <f>'Stations Data'!$F11</f>
        <v>13000</v>
      </c>
      <c r="Q60" s="93">
        <f>'Stations Data'!$F11</f>
        <v>13000</v>
      </c>
      <c r="R60" s="93">
        <f>'Stations Data'!$F11</f>
        <v>13000</v>
      </c>
      <c r="S60" s="93">
        <f>'Stations Data'!$F11</f>
        <v>13000</v>
      </c>
      <c r="T60" s="93">
        <f>'Stations Data'!$F11</f>
        <v>13000</v>
      </c>
      <c r="U60" s="93">
        <f>'Stations Data'!$F11</f>
        <v>13000</v>
      </c>
      <c r="V60" s="93">
        <f>'Stations Data'!$F11</f>
        <v>13000</v>
      </c>
      <c r="W60" s="93">
        <f>'Stations Data'!$F11</f>
        <v>13000</v>
      </c>
      <c r="X60" s="93">
        <f>'Stations Data'!$F11</f>
        <v>13000</v>
      </c>
      <c r="Y60" s="93">
        <f>'Stations Data'!$F11</f>
        <v>13000</v>
      </c>
      <c r="Z60" s="93">
        <f>'Stations Data'!$F11</f>
        <v>13000</v>
      </c>
      <c r="AA60" s="93">
        <f>'Stations Data'!$F11</f>
        <v>13000</v>
      </c>
    </row>
    <row r="61" spans="1:27" x14ac:dyDescent="0.35">
      <c r="A61" s="107"/>
      <c r="B61" s="105"/>
      <c r="C61" s="80" t="s">
        <v>54</v>
      </c>
    </row>
    <row r="62" spans="1:27" x14ac:dyDescent="0.35">
      <c r="A62" s="107"/>
      <c r="B62" s="105"/>
      <c r="C62" s="80" t="s">
        <v>50</v>
      </c>
      <c r="E62" s="93">
        <f t="shared" ref="E62:V62" si="22">D268-E268</f>
        <v>0</v>
      </c>
      <c r="F62" s="93">
        <f t="shared" si="22"/>
        <v>0</v>
      </c>
      <c r="G62" s="93">
        <f t="shared" si="22"/>
        <v>0</v>
      </c>
      <c r="H62" s="93">
        <f t="shared" si="22"/>
        <v>0</v>
      </c>
      <c r="I62" s="93">
        <f t="shared" si="22"/>
        <v>0</v>
      </c>
      <c r="J62" s="93">
        <f t="shared" si="22"/>
        <v>0</v>
      </c>
      <c r="K62" s="93">
        <f t="shared" si="22"/>
        <v>0</v>
      </c>
      <c r="L62" s="93">
        <f t="shared" si="22"/>
        <v>0</v>
      </c>
      <c r="M62" s="93">
        <f t="shared" si="22"/>
        <v>0</v>
      </c>
      <c r="N62" s="93">
        <f t="shared" si="22"/>
        <v>0</v>
      </c>
      <c r="O62" s="93">
        <f t="shared" si="22"/>
        <v>0</v>
      </c>
      <c r="P62" s="93">
        <f t="shared" si="22"/>
        <v>0</v>
      </c>
      <c r="Q62" s="93">
        <f t="shared" si="22"/>
        <v>0</v>
      </c>
      <c r="R62" s="93">
        <f t="shared" si="22"/>
        <v>0</v>
      </c>
      <c r="S62" s="93">
        <f t="shared" si="22"/>
        <v>0</v>
      </c>
      <c r="T62" s="93">
        <f t="shared" si="22"/>
        <v>0</v>
      </c>
      <c r="U62" s="93">
        <f t="shared" si="22"/>
        <v>0</v>
      </c>
      <c r="V62" s="93">
        <f t="shared" si="22"/>
        <v>0</v>
      </c>
      <c r="W62" s="93">
        <f>V268-W268</f>
        <v>0</v>
      </c>
      <c r="X62" s="93">
        <f>W268-X268</f>
        <v>2986.9607999999998</v>
      </c>
      <c r="Y62" s="93">
        <f>X268-Y268</f>
        <v>0</v>
      </c>
      <c r="Z62" s="93">
        <f>Y268-Z268</f>
        <v>0</v>
      </c>
      <c r="AA62" s="93">
        <f>Z268-AA268</f>
        <v>0</v>
      </c>
    </row>
    <row r="63" spans="1:27" x14ac:dyDescent="0.35">
      <c r="A63" s="107"/>
      <c r="B63" s="105"/>
      <c r="C63" s="80" t="s">
        <v>51</v>
      </c>
      <c r="E63" s="93">
        <f t="shared" ref="E63:V63" si="23">-(D268-E268)</f>
        <v>0</v>
      </c>
      <c r="F63" s="93">
        <f t="shared" si="23"/>
        <v>0</v>
      </c>
      <c r="G63" s="93">
        <f t="shared" si="23"/>
        <v>0</v>
      </c>
      <c r="H63" s="93">
        <f t="shared" si="23"/>
        <v>0</v>
      </c>
      <c r="I63" s="93">
        <f t="shared" si="23"/>
        <v>0</v>
      </c>
      <c r="J63" s="93">
        <f t="shared" si="23"/>
        <v>0</v>
      </c>
      <c r="K63" s="93">
        <f t="shared" si="23"/>
        <v>0</v>
      </c>
      <c r="L63" s="93">
        <f t="shared" si="23"/>
        <v>0</v>
      </c>
      <c r="M63" s="93">
        <f t="shared" si="23"/>
        <v>0</v>
      </c>
      <c r="N63" s="93">
        <f t="shared" si="23"/>
        <v>0</v>
      </c>
      <c r="O63" s="93">
        <f t="shared" si="23"/>
        <v>0</v>
      </c>
      <c r="P63" s="93">
        <f t="shared" si="23"/>
        <v>0</v>
      </c>
      <c r="Q63" s="93">
        <f t="shared" si="23"/>
        <v>0</v>
      </c>
      <c r="R63" s="93">
        <f t="shared" si="23"/>
        <v>0</v>
      </c>
      <c r="S63" s="93">
        <f t="shared" si="23"/>
        <v>0</v>
      </c>
      <c r="T63" s="93">
        <f t="shared" si="23"/>
        <v>0</v>
      </c>
      <c r="U63" s="93">
        <f t="shared" si="23"/>
        <v>0</v>
      </c>
      <c r="V63" s="93">
        <f t="shared" si="23"/>
        <v>0</v>
      </c>
      <c r="W63" s="93">
        <f>-(V268-W268)</f>
        <v>0</v>
      </c>
      <c r="X63" s="93">
        <f>-(W268-X268)</f>
        <v>-2986.9607999999998</v>
      </c>
      <c r="Y63" s="93">
        <f>-(X268-Y268)</f>
        <v>0</v>
      </c>
      <c r="Z63" s="93">
        <f>-(Y268-Z268)</f>
        <v>0</v>
      </c>
      <c r="AA63" s="93">
        <f>-(Z268-AA268)</f>
        <v>0</v>
      </c>
    </row>
    <row r="64" spans="1:27" x14ac:dyDescent="0.35">
      <c r="A64" s="107"/>
      <c r="B64" s="105"/>
      <c r="C64" s="80" t="s">
        <v>52</v>
      </c>
      <c r="D64" s="93">
        <v>5000</v>
      </c>
      <c r="G64" s="93" t="s">
        <v>44</v>
      </c>
      <c r="I64" s="93">
        <f>SUM(E267:AA267)</f>
        <v>5000</v>
      </c>
    </row>
    <row r="65" spans="1:27" x14ac:dyDescent="0.35">
      <c r="A65" s="107"/>
      <c r="B65" s="105"/>
      <c r="C65" s="79" t="s">
        <v>48</v>
      </c>
      <c r="D65" s="93">
        <f>'Stations Data'!$J$10+SUM($D259:D259)+SUM($D266:D266)-SUM($D268:D268)-SUM(Demand!$B15:B15)</f>
        <v>27609.745301549901</v>
      </c>
      <c r="E65" s="93">
        <f>'Stations Data'!$J$10+SUM($D259:E259)+SUM($D266:E266)-SUM($D268:E268)-SUM(Demand!$B15:C15)</f>
        <v>27984.867215003098</v>
      </c>
      <c r="F65" s="93">
        <f>'Stations Data'!$J$10+SUM($D259:F259)+SUM($D266:F266)-SUM($D268:F268)-SUM(Demand!$B15:D15)</f>
        <v>28363.412671543705</v>
      </c>
      <c r="G65" s="93">
        <f>'Stations Data'!$J$10+SUM($D259:G259)+SUM($D266:G266)-SUM($D268:G268)-SUM(Demand!$B15:E15)</f>
        <v>28752.228757346562</v>
      </c>
      <c r="H65" s="93">
        <f>'Stations Data'!$J$10+SUM($D259:H259)+SUM($D266:H266)-SUM($D268:H268)-SUM(Demand!$B15:F15)</f>
        <v>29115.938860508373</v>
      </c>
      <c r="I65" s="93">
        <f>'Stations Data'!$J$10+SUM($D259:I259)+SUM($D266:I266)-SUM($D268:I268)-SUM(Demand!$B15:G15)</f>
        <v>29486.496049845009</v>
      </c>
      <c r="J65" s="93">
        <f>'Stations Data'!$J$10+SUM($D259:J259)+SUM($D266:J266)-SUM($D268:J268)-SUM(Demand!$B15:H15)</f>
        <v>29846.782609919395</v>
      </c>
      <c r="K65" s="93">
        <f>'Stations Data'!$J$10+SUM($D259:K259)+SUM($D266:K266)-SUM($D268:K268)-SUM(Demand!$B15:I15)</f>
        <v>29073.550989584623</v>
      </c>
      <c r="L65" s="93">
        <f>'Stations Data'!$J$10+SUM($D259:L259)+SUM($D266:L266)-SUM($D268:L268)-SUM(Demand!$B15:J15)</f>
        <v>28179.354180161186</v>
      </c>
      <c r="M65" s="93">
        <f>'Stations Data'!$J$10+SUM($D259:M259)+SUM($D266:M266)-SUM($D268:M268)-SUM(Demand!$B15:K15)</f>
        <v>27226.957138251702</v>
      </c>
      <c r="N65" s="93">
        <f>'Stations Data'!$J$10+SUM($D259:N259)+SUM($D266:N266)-SUM($D268:N268)-SUM(Demand!$B15:L15)</f>
        <v>26266.571829138247</v>
      </c>
      <c r="O65" s="93">
        <f>'Stations Data'!$J$10+SUM($D259:O259)+SUM($D266:O266)-SUM($D268:O268)-SUM(Demand!$B15:M15)</f>
        <v>25306.186520024796</v>
      </c>
      <c r="P65" s="93">
        <f>'Stations Data'!$J$10+SUM($D259:P259)+SUM($D266:P266)-SUM($D268:P268)-SUM(Demand!$B15:N15)</f>
        <v>24346.94239194048</v>
      </c>
      <c r="Q65" s="93">
        <f>'Stations Data'!$J$10+SUM($D259:Q259)+SUM($D266:Q266)-SUM($D268:Q268)-SUM(Demand!$B15:O15)</f>
        <v>23392.262987972732</v>
      </c>
      <c r="R65" s="93">
        <f>'Stations Data'!$J$10+SUM($D259:R259)+SUM($D266:R266)-SUM($D268:R268)-SUM(Demand!$B15:P15)</f>
        <v>22442.148308121508</v>
      </c>
      <c r="S65" s="93">
        <f>'Stations Data'!$J$10+SUM($D259:S259)+SUM($D266:S266)-SUM($D268:S268)-SUM(Demand!$B15:Q15)</f>
        <v>21577.622205455653</v>
      </c>
      <c r="T65" s="93">
        <f>'Stations Data'!$J$10+SUM($D259:T259)+SUM($D266:T266)-SUM($D268:T268)-SUM(Demand!$B15:R15)</f>
        <v>20716.519645877255</v>
      </c>
      <c r="U65" s="93">
        <f>'Stations Data'!$J$10+SUM($D259:U259)+SUM($D266:U266)-SUM($D268:U268)-SUM(Demand!$B15:S15)</f>
        <v>19834.875827774325</v>
      </c>
      <c r="V65" s="93">
        <f>'Stations Data'!$J$10+SUM($D259:V259)+SUM($D266:V266)-SUM($D268:V268)-SUM(Demand!$B15:T15)</f>
        <v>19000.020431866069</v>
      </c>
      <c r="W65" s="93">
        <f>'Stations Data'!$J$10+SUM($D259:W259)+SUM($D266:W266)-SUM($D268:W268)-SUM(Demand!$B15:U15)</f>
        <v>18180.000389336605</v>
      </c>
      <c r="X65" s="93">
        <f>'Stations Data'!$J$10+SUM($D259:X259)+SUM($D266:X266)-SUM($D268:X268)-SUM(Demand!$B15:V15)</f>
        <v>20385.741301797843</v>
      </c>
      <c r="Y65" s="93">
        <f>'Stations Data'!$J$10+SUM($D259:Y259)+SUM($D266:Y266)-SUM($D268:Y268)-SUM(Demand!$B15:W15)</f>
        <v>22591.482214259082</v>
      </c>
      <c r="Z65" s="93">
        <f>'Stations Data'!$J$10+SUM($D259:Z259)+SUM($D266:Z266)-SUM($D268:Z268)-SUM(Demand!$B15:X15)</f>
        <v>24901.070600371902</v>
      </c>
      <c r="AA65" s="93">
        <f>'Stations Data'!$J$10+SUM($D259:AA259)+SUM($D266:AA266)-SUM($D268:AA268)-SUM(Demand!$B15:Y15)</f>
        <v>27270.00039999991</v>
      </c>
    </row>
    <row r="66" spans="1:27" x14ac:dyDescent="0.35">
      <c r="A66" s="107"/>
      <c r="B66" s="105"/>
      <c r="C66" s="83" t="s">
        <v>53</v>
      </c>
      <c r="D66" s="93">
        <f t="shared" ref="D66:U66" si="24">D268</f>
        <v>7730.1539000000002</v>
      </c>
      <c r="E66" s="93">
        <f t="shared" si="24"/>
        <v>7730.1539000000002</v>
      </c>
      <c r="F66" s="93">
        <f t="shared" si="24"/>
        <v>7730.1539000000002</v>
      </c>
      <c r="G66" s="93">
        <f t="shared" si="24"/>
        <v>7730.1539000000002</v>
      </c>
      <c r="H66" s="93">
        <f t="shared" si="24"/>
        <v>7730.1539000000002</v>
      </c>
      <c r="I66" s="93">
        <f t="shared" si="24"/>
        <v>7730.1539000000002</v>
      </c>
      <c r="J66" s="93">
        <f t="shared" si="24"/>
        <v>7730.1539000000002</v>
      </c>
      <c r="K66" s="93">
        <f t="shared" si="24"/>
        <v>7730.1539000000002</v>
      </c>
      <c r="L66" s="93">
        <f t="shared" si="24"/>
        <v>7730.1539000000002</v>
      </c>
      <c r="M66" s="93">
        <f t="shared" si="24"/>
        <v>7730.1539000000002</v>
      </c>
      <c r="N66" s="93">
        <f t="shared" si="24"/>
        <v>7730.1539000000002</v>
      </c>
      <c r="O66" s="93">
        <f t="shared" si="24"/>
        <v>7730.1539000000002</v>
      </c>
      <c r="P66" s="93">
        <f t="shared" si="24"/>
        <v>7730.1539000000002</v>
      </c>
      <c r="Q66" s="93">
        <f t="shared" si="24"/>
        <v>7730.1539000000002</v>
      </c>
      <c r="R66" s="93">
        <f t="shared" si="24"/>
        <v>7730.1539000000002</v>
      </c>
      <c r="S66" s="93">
        <f t="shared" si="24"/>
        <v>7730.1539000000002</v>
      </c>
      <c r="T66" s="93">
        <f t="shared" si="24"/>
        <v>7730.1539000000002</v>
      </c>
      <c r="U66" s="93">
        <f t="shared" si="24"/>
        <v>7730.1539000000002</v>
      </c>
      <c r="V66" s="93">
        <f t="shared" ref="V66:AA66" si="25">V268</f>
        <v>7730.1539000000002</v>
      </c>
      <c r="W66" s="93">
        <f t="shared" si="25"/>
        <v>7730.1539000000002</v>
      </c>
      <c r="X66" s="93">
        <f t="shared" si="25"/>
        <v>4743.1931000000004</v>
      </c>
      <c r="Y66" s="93">
        <f t="shared" si="25"/>
        <v>4743.1931000000004</v>
      </c>
      <c r="Z66" s="93">
        <f t="shared" si="25"/>
        <v>4743.1931000000004</v>
      </c>
      <c r="AA66" s="93">
        <f t="shared" si="25"/>
        <v>4743.1931000000004</v>
      </c>
    </row>
    <row r="67" spans="1:27" x14ac:dyDescent="0.35">
      <c r="A67" s="107"/>
      <c r="B67" s="105"/>
      <c r="C67" s="76" t="s">
        <v>8</v>
      </c>
      <c r="D67" s="95">
        <f>SUM(D66:AA66)/4545</f>
        <v>38.19050613861387</v>
      </c>
      <c r="F67" s="93" t="s">
        <v>5</v>
      </c>
      <c r="I67" s="95">
        <f>'Stations Data'!B11*SUM('Total network optimization'!D268:AA268)+'Stations Data'!B12*SUM(Demand!B15:Y15)</f>
        <v>103454.69383012476</v>
      </c>
      <c r="K67" s="93" t="s">
        <v>6</v>
      </c>
      <c r="M67" s="95">
        <f>SUMPRODUCT(D55:AA55,D268:AA268)</f>
        <v>20633.633575375454</v>
      </c>
      <c r="Q67" s="96" t="s">
        <v>29</v>
      </c>
      <c r="S67" s="93">
        <f>AA65-'Stations Data'!L10</f>
        <v>3.9999990985961631E-4</v>
      </c>
      <c r="W67" s="93" t="s">
        <v>67</v>
      </c>
    </row>
    <row r="68" spans="1:27" s="45" customFormat="1" x14ac:dyDescent="0.35">
      <c r="A68" s="105" t="s">
        <v>180</v>
      </c>
      <c r="B68" s="105" t="s">
        <v>179</v>
      </c>
      <c r="C68" s="78" t="s">
        <v>32</v>
      </c>
      <c r="D68" s="92">
        <f>'Stations Data'!$B$13*Demand!B$3</f>
        <v>0.45223426709999998</v>
      </c>
      <c r="E68" s="92">
        <f>'Stations Data'!$B$13*Demand!C$3</f>
        <v>0.32145829722000002</v>
      </c>
      <c r="F68" s="92">
        <f>'Stations Data'!$B$13*Demand!D$3</f>
        <v>0.32145829722000002</v>
      </c>
      <c r="G68" s="92">
        <f>'Stations Data'!$B$13*Demand!E$3</f>
        <v>0.32145829722000002</v>
      </c>
      <c r="H68" s="92">
        <f>'Stations Data'!$B$13*Demand!F$3</f>
        <v>0.24863096069999999</v>
      </c>
      <c r="I68" s="92">
        <f>'Stations Data'!$B$13*Demand!G$3</f>
        <v>0.24863096069999999</v>
      </c>
      <c r="J68" s="92">
        <f>'Stations Data'!$B$13*Demand!H$3</f>
        <v>0.24863096069999999</v>
      </c>
      <c r="K68" s="92">
        <f>'Stations Data'!$B$13*Demand!I$3</f>
        <v>0.24119160911999998</v>
      </c>
      <c r="L68" s="92">
        <f>'Stations Data'!$B$13*Demand!J$3</f>
        <v>0.24119160911999998</v>
      </c>
      <c r="M68" s="92">
        <f>'Stations Data'!$B$13*Demand!K$3</f>
        <v>0.24119160911999998</v>
      </c>
      <c r="N68" s="92">
        <f>'Stations Data'!$B$13*Demand!L$3</f>
        <v>0.34612562087999993</v>
      </c>
      <c r="O68" s="92">
        <f>'Stations Data'!$B$13*Demand!M$3</f>
        <v>0.34612562087999993</v>
      </c>
      <c r="P68" s="92">
        <f>'Stations Data'!$B$13*Demand!N$3</f>
        <v>0.34612562087999993</v>
      </c>
      <c r="Q68" s="92">
        <f>'Stations Data'!$B$13*Demand!O$3</f>
        <v>0.47885931486</v>
      </c>
      <c r="R68" s="92">
        <f>'Stations Data'!$B$13*Demand!P$3</f>
        <v>0.47885931486</v>
      </c>
      <c r="S68" s="92">
        <f>'Stations Data'!$B$13*Demand!Q$3</f>
        <v>0.47885931486</v>
      </c>
      <c r="T68" s="92">
        <f>'Stations Data'!$B$13*Demand!R$3</f>
        <v>0.53622063099000006</v>
      </c>
      <c r="U68" s="92">
        <f>'Stations Data'!$B$13*Demand!S$3</f>
        <v>0.53622063099000006</v>
      </c>
      <c r="V68" s="92">
        <f>'Stations Data'!$B$13*Demand!T$3</f>
        <v>0.53622063099000006</v>
      </c>
      <c r="W68" s="92">
        <f>'Stations Data'!$B$13*Demand!U$3</f>
        <v>0.5227123347</v>
      </c>
      <c r="X68" s="92">
        <f>'Stations Data'!$B$13*Demand!V$3</f>
        <v>0.5227123347</v>
      </c>
      <c r="Y68" s="92">
        <f>'Stations Data'!$B$13*Demand!W$3</f>
        <v>0.5227123347</v>
      </c>
      <c r="Z68" s="92">
        <f>'Stations Data'!$B$13*Demand!X$3</f>
        <v>0.45223426709999998</v>
      </c>
      <c r="AA68" s="92">
        <f>'Stations Data'!$B$13*Demand!Y$3</f>
        <v>0.45223426709999998</v>
      </c>
    </row>
    <row r="69" spans="1:27" x14ac:dyDescent="0.35">
      <c r="A69" s="105"/>
      <c r="B69" s="105"/>
      <c r="C69" s="79" t="s">
        <v>45</v>
      </c>
      <c r="D69" s="93">
        <f>-SUM($D270:D270)</f>
        <v>-8</v>
      </c>
      <c r="E69" s="93">
        <f>-SUM($D270:E270)</f>
        <v>-16</v>
      </c>
      <c r="F69" s="93">
        <f>-SUM($D270:F270)</f>
        <v>-24</v>
      </c>
      <c r="G69" s="93">
        <f>-SUM($D270:G270)</f>
        <v>-32</v>
      </c>
      <c r="H69" s="93">
        <f>-SUM($D270:H270)</f>
        <v>-40</v>
      </c>
      <c r="I69" s="93">
        <f>-SUM($D270:I270)</f>
        <v>-48</v>
      </c>
      <c r="J69" s="93">
        <f>-SUM($D270:J270)</f>
        <v>-56</v>
      </c>
      <c r="K69" s="93">
        <f>-SUM($D270:K270)</f>
        <v>-64</v>
      </c>
      <c r="L69" s="93">
        <f>-SUM($D270:L270)</f>
        <v>-72</v>
      </c>
      <c r="M69" s="93">
        <f>-SUM($D270:M270)</f>
        <v>-80</v>
      </c>
      <c r="N69" s="93">
        <f>-SUM($D270:N270)</f>
        <v>-88</v>
      </c>
      <c r="O69" s="93">
        <f>-SUM($D270:O270)</f>
        <v>-96</v>
      </c>
      <c r="P69" s="93">
        <f>-SUM($D270:P270)</f>
        <v>-104</v>
      </c>
      <c r="Q69" s="93">
        <f>-SUM($D270:Q270)</f>
        <v>-111</v>
      </c>
      <c r="R69" s="93">
        <f>-SUM($D270:R270)</f>
        <v>-118</v>
      </c>
      <c r="S69" s="93">
        <f>-SUM($D270:S270)</f>
        <v>-124</v>
      </c>
      <c r="T69" s="93">
        <f>-SUM($D270:T270)</f>
        <v>-130</v>
      </c>
      <c r="U69" s="93">
        <f>-SUM($D270:U270)</f>
        <v>-136</v>
      </c>
      <c r="V69" s="93">
        <f>-SUM($D270:V270)</f>
        <v>-142</v>
      </c>
      <c r="W69" s="93">
        <f>-SUM($D270:W270)</f>
        <v>-148</v>
      </c>
      <c r="X69" s="93">
        <f>-SUM($D270:X270)</f>
        <v>-154</v>
      </c>
      <c r="Y69" s="93">
        <f>-SUM($D270:Y270)</f>
        <v>-160</v>
      </c>
      <c r="Z69" s="93">
        <f>-SUM($D270:Z270)</f>
        <v>-166</v>
      </c>
      <c r="AA69" s="93">
        <f>-SUM($D270:AA270)</f>
        <v>-172</v>
      </c>
    </row>
    <row r="70" spans="1:27" x14ac:dyDescent="0.35">
      <c r="A70" s="105"/>
      <c r="B70" s="105"/>
      <c r="C70" s="79" t="s">
        <v>46</v>
      </c>
      <c r="D70" s="93">
        <f>('Stations Data'!$H$13-'Stations Data'!$J$13-SUM(Production!$B3:'Production'!B3)+SUM(Demand!$B19:'Demand'!B19))/'Stations Data'!$E$13</f>
        <v>-85.27259058934726</v>
      </c>
      <c r="E70" s="93">
        <f>('Stations Data'!$H$13-'Stations Data'!$J$13-SUM(Production!$B3:'Production'!C3)+SUM(Demand!$B19:'Demand'!C19))/'Stations Data'!$E$13</f>
        <v>-92.524755023913357</v>
      </c>
      <c r="F70" s="93">
        <f>('Stations Data'!$H$13-'Stations Data'!$J$13-SUM(Production!$B3:'Production'!D3)+SUM(Demand!$B19:'Demand'!D19))/'Stations Data'!$E$13</f>
        <v>-99.796758264961753</v>
      </c>
      <c r="G70" s="93">
        <f>('Stations Data'!$H$13-'Stations Data'!$J$13-SUM(Production!$B3:'Production'!E3)+SUM(Demand!$B19:'Demand'!E19))/'Stations Data'!$E$13</f>
        <v>-107.27596681815906</v>
      </c>
      <c r="H70" s="93">
        <f>('Stations Data'!$H$13-'Stations Data'!$J$13-SUM(Production!$B3:'Production'!F3)+SUM(Demand!$B19:'Demand'!F19))/'Stations Data'!$E$13</f>
        <v>-114.57883042484669</v>
      </c>
      <c r="I70" s="93">
        <f>('Stations Data'!$H$13-'Stations Data'!$J$13-SUM(Production!$B3:'Production'!G3)+SUM(Demand!$B19:'Demand'!G19))/'Stations Data'!$E$13</f>
        <v>-121.85083366589512</v>
      </c>
      <c r="J70" s="93">
        <f>('Stations Data'!$H$13-'Stations Data'!$J$13-SUM(Production!$B3:'Production'!H3)+SUM(Demand!$B19:'Demand'!H19))/'Stations Data'!$E$13</f>
        <v>-129.10079378862983</v>
      </c>
      <c r="K70" s="93">
        <f>('Stations Data'!$H$13-'Stations Data'!$J$13-SUM(Production!$B3:'Production'!I3)+SUM(Demand!$B19:'Demand'!I19))/'Stations Data'!$E$13</f>
        <v>-136.24555312921237</v>
      </c>
      <c r="L70" s="93">
        <f>('Stations Data'!$H$13-'Stations Data'!$J$13-SUM(Production!$B3:'Production'!J3)+SUM(Demand!$B19:'Demand'!J19))/'Stations Data'!$E$13</f>
        <v>-143.39251678162631</v>
      </c>
      <c r="M70" s="93">
        <f>('Stations Data'!$H$13-'Stations Data'!$J$13-SUM(Production!$B3:'Production'!K3)+SUM(Demand!$B19:'Demand'!K19))/'Stations Data'!$E$13</f>
        <v>-150.54829768136571</v>
      </c>
      <c r="N70" s="93">
        <f>('Stations Data'!$H$13-'Stations Data'!$J$13-SUM(Production!$B3:'Production'!L3)+SUM(Demand!$B19:'Demand'!L19))/'Stations Data'!$E$13</f>
        <v>-157.70628289293649</v>
      </c>
      <c r="O70" s="93">
        <f>('Stations Data'!$H$13-'Stations Data'!$J$13-SUM(Production!$B3:'Production'!M3)+SUM(Demand!$B19:'Demand'!M19))/'Stations Data'!$E$13</f>
        <v>-164.85985948084451</v>
      </c>
      <c r="P70" s="93">
        <f>('Stations Data'!$H$13-'Stations Data'!$J$13-SUM(Production!$B3:'Production'!N3)+SUM(Demand!$B19:'Demand'!N19))/'Stations Data'!$E$13</f>
        <v>-172.0156403805839</v>
      </c>
      <c r="Q70" s="93">
        <f>('Stations Data'!$H$13-'Stations Data'!$J$13-SUM(Production!$B3:'Production'!O3)+SUM(Demand!$B19:'Demand'!O19))/'Stations Data'!$E$13</f>
        <v>-179.18685146314292</v>
      </c>
      <c r="R70" s="93">
        <f>('Stations Data'!$H$13-'Stations Data'!$J$13-SUM(Production!$B3:'Production'!P3)+SUM(Demand!$B19:'Demand'!P19))/'Stations Data'!$E$13</f>
        <v>-186.40154259657567</v>
      </c>
      <c r="S70" s="93">
        <f>('Stations Data'!$H$13-'Stations Data'!$J$13-SUM(Production!$B3:'Production'!Q3)+SUM(Demand!$B19:'Demand'!Q19))/'Stations Data'!$E$13</f>
        <v>-193.62064235367123</v>
      </c>
      <c r="T70" s="93">
        <f>('Stations Data'!$H$13-'Stations Data'!$J$13-SUM(Production!$B3:'Production'!R3)+SUM(Demand!$B19:'Demand'!R19))/'Stations Data'!$E$13</f>
        <v>-200.83533348710398</v>
      </c>
      <c r="U70" s="93">
        <f>('Stations Data'!$H$13-'Stations Data'!$J$13-SUM(Production!$B3:'Production'!S3)+SUM(Demand!$B19:'Demand'!S19))/'Stations Data'!$E$13</f>
        <v>-208.04561599687406</v>
      </c>
      <c r="V70" s="93">
        <f>('Stations Data'!$H$13-'Stations Data'!$J$13-SUM(Production!$B3:'Production'!T3)+SUM(Demand!$B19:'Demand'!T19))/'Stations Data'!$E$13</f>
        <v>-215.22283382917351</v>
      </c>
      <c r="W70" s="93">
        <f>('Stations Data'!$H$13-'Stations Data'!$J$13-SUM(Production!$B3:'Production'!U3)+SUM(Demand!$B19:'Demand'!U19))/'Stations Data'!$E$13</f>
        <v>-222.40666459696715</v>
      </c>
      <c r="X70" s="93">
        <f>('Stations Data'!$H$13-'Stations Data'!$J$13-SUM(Production!$B3:'Production'!V3)+SUM(Demand!$B19:'Demand'!V19))/'Stations Data'!$E$13</f>
        <v>-229.57726949377249</v>
      </c>
      <c r="Y70" s="93">
        <f>('Stations Data'!$H$13-'Stations Data'!$J$13-SUM(Production!$B3:'Production'!W3)+SUM(Demand!$B19:'Demand'!W19))/'Stations Data'!$E$13</f>
        <v>-236.74567007874651</v>
      </c>
      <c r="Z70" s="93">
        <f>('Stations Data'!$H$13-'Stations Data'!$J$13-SUM(Production!$B3:'Production'!X3)+SUM(Demand!$B19:'Demand'!X19))/'Stations Data'!$E$13</f>
        <v>-243.90084479273224</v>
      </c>
      <c r="AA70" s="93">
        <f>('Stations Data'!$L$13-'Stations Data'!$J$13-SUM(Production!$B3:'Production'!Y3)+SUM(Demand!$B19:'Demand'!Y19))/'Stations Data'!$E$13</f>
        <v>-173.01575454545454</v>
      </c>
    </row>
    <row r="71" spans="1:27" x14ac:dyDescent="0.35">
      <c r="A71" s="105"/>
      <c r="B71" s="105"/>
      <c r="C71" s="79" t="s">
        <v>47</v>
      </c>
      <c r="D71" s="93">
        <f>('Stations Data'!$N$13-'Stations Data'!$J$13-SUM(Production!$B3:'Production'!B3)+SUM(Demand!$B19:'Demand'!B19))/'Stations Data'!$E$13</f>
        <v>12.587114932125125</v>
      </c>
      <c r="E71" s="93">
        <f>('Stations Data'!$N$13-'Stations Data'!$J$13-SUM(Production!$B3:'Production'!C3)+SUM(Demand!$B19:'Demand'!C19))/'Stations Data'!$E$13</f>
        <v>5.3349504975590332</v>
      </c>
      <c r="F71" s="93">
        <f>('Stations Data'!$N$13-'Stations Data'!$J$13-SUM(Production!$B3:'Production'!D3)+SUM(Demand!$B19:'Demand'!D19))/'Stations Data'!$E$13</f>
        <v>-1.937052743489398</v>
      </c>
      <c r="G71" s="93">
        <f>('Stations Data'!$N$13-'Stations Data'!$J$13-SUM(Production!$B3:'Production'!E3)+SUM(Demand!$B19:'Demand'!E19))/'Stations Data'!$E$13</f>
        <v>-9.4162612966866952</v>
      </c>
      <c r="H71" s="93">
        <f>('Stations Data'!$N$13-'Stations Data'!$J$13-SUM(Production!$B3:'Production'!F3)+SUM(Demand!$B19:'Demand'!F19))/'Stations Data'!$E$13</f>
        <v>-16.719124903374318</v>
      </c>
      <c r="I71" s="93">
        <f>('Stations Data'!$N$13-'Stations Data'!$J$13-SUM(Production!$B3:'Production'!G3)+SUM(Demand!$B19:'Demand'!G19))/'Stations Data'!$E$13</f>
        <v>-23.991128144422746</v>
      </c>
      <c r="J71" s="93">
        <f>('Stations Data'!$N$13-'Stations Data'!$J$13-SUM(Production!$B3:'Production'!H3)+SUM(Demand!$B19:'Demand'!H19))/'Stations Data'!$E$13</f>
        <v>-31.241088267157473</v>
      </c>
      <c r="K71" s="93">
        <f>('Stations Data'!$N$13-'Stations Data'!$J$13-SUM(Production!$B3:'Production'!I3)+SUM(Demand!$B19:'Demand'!I19))/'Stations Data'!$E$13</f>
        <v>-38.385847607740018</v>
      </c>
      <c r="L71" s="93">
        <f>('Stations Data'!$N$13-'Stations Data'!$J$13-SUM(Production!$B3:'Production'!J3)+SUM(Demand!$B19:'Demand'!J19))/'Stations Data'!$E$13</f>
        <v>-45.532811260153935</v>
      </c>
      <c r="M71" s="93">
        <f>('Stations Data'!$N$13-'Stations Data'!$J$13-SUM(Production!$B3:'Production'!K3)+SUM(Demand!$B19:'Demand'!K19))/'Stations Data'!$E$13</f>
        <v>-52.688592159893332</v>
      </c>
      <c r="N71" s="93">
        <f>('Stations Data'!$N$13-'Stations Data'!$J$13-SUM(Production!$B3:'Production'!L3)+SUM(Demand!$B19:'Demand'!L19))/'Stations Data'!$E$13</f>
        <v>-59.8465773714641</v>
      </c>
      <c r="O71" s="93">
        <f>('Stations Data'!$N$13-'Stations Data'!$J$13-SUM(Production!$B3:'Production'!M3)+SUM(Demand!$B19:'Demand'!M19))/'Stations Data'!$E$13</f>
        <v>-67.000153959372128</v>
      </c>
      <c r="P71" s="93">
        <f>('Stations Data'!$N$13-'Stations Data'!$J$13-SUM(Production!$B3:'Production'!N3)+SUM(Demand!$B19:'Demand'!N19))/'Stations Data'!$E$13</f>
        <v>-74.155934859111539</v>
      </c>
      <c r="Q71" s="93">
        <f>('Stations Data'!$N$13-'Stations Data'!$J$13-SUM(Production!$B3:'Production'!O3)+SUM(Demand!$B19:'Demand'!O19))/'Stations Data'!$E$13</f>
        <v>-81.327145941670523</v>
      </c>
      <c r="R71" s="93">
        <f>('Stations Data'!$N$13-'Stations Data'!$J$13-SUM(Production!$B3:'Production'!P3)+SUM(Demand!$B19:'Demand'!P19))/'Stations Data'!$E$13</f>
        <v>-88.541837075103317</v>
      </c>
      <c r="S71" s="93">
        <f>('Stations Data'!$N$13-'Stations Data'!$J$13-SUM(Production!$B3:'Production'!Q3)+SUM(Demand!$B19:'Demand'!Q19))/'Stations Data'!$E$13</f>
        <v>-95.760936832198851</v>
      </c>
      <c r="T71" s="93">
        <f>('Stations Data'!$N$13-'Stations Data'!$J$13-SUM(Production!$B3:'Production'!R3)+SUM(Demand!$B19:'Demand'!R19))/'Stations Data'!$E$13</f>
        <v>-102.97562796563165</v>
      </c>
      <c r="U71" s="93">
        <f>('Stations Data'!$N$13-'Stations Data'!$J$13-SUM(Production!$B3:'Production'!S3)+SUM(Demand!$B19:'Demand'!S19))/'Stations Data'!$E$13</f>
        <v>-110.18591047540167</v>
      </c>
      <c r="V71" s="93">
        <f>('Stations Data'!$N$13-'Stations Data'!$J$13-SUM(Production!$B3:'Production'!T3)+SUM(Demand!$B19:'Demand'!T19))/'Stations Data'!$E$13</f>
        <v>-117.36312830770115</v>
      </c>
      <c r="W71" s="93">
        <f>('Stations Data'!$N$13-'Stations Data'!$J$13-SUM(Production!$B3:'Production'!U3)+SUM(Demand!$B19:'Demand'!U19))/'Stations Data'!$E$13</f>
        <v>-124.54695907549475</v>
      </c>
      <c r="X71" s="93">
        <f>('Stations Data'!$N$13-'Stations Data'!$J$13-SUM(Production!$B3:'Production'!V3)+SUM(Demand!$B19:'Demand'!V19))/'Stations Data'!$E$13</f>
        <v>-131.71756397230013</v>
      </c>
      <c r="Y71" s="93">
        <f>('Stations Data'!$N$13-'Stations Data'!$J$13-SUM(Production!$B3:'Production'!W3)+SUM(Demand!$B19:'Demand'!W19))/'Stations Data'!$E$13</f>
        <v>-138.88596455727412</v>
      </c>
      <c r="Z71" s="93">
        <f>('Stations Data'!$N$13-'Stations Data'!$J$13-SUM(Production!$B3:'Production'!X3)+SUM(Demand!$B19:'Demand'!X19))/'Stations Data'!$E$13</f>
        <v>-146.04113927125991</v>
      </c>
      <c r="AA71" s="93">
        <f>('Stations Data'!$N$13-'Stations Data'!$J$13-SUM(Production!$B3:'Production'!Y3)+SUM(Demand!$B19:'Demand'!Y19))/'Stations Data'!$E$13</f>
        <v>-153.20513123257115</v>
      </c>
    </row>
    <row r="72" spans="1:27" x14ac:dyDescent="0.35">
      <c r="A72" s="105"/>
      <c r="B72" s="105"/>
      <c r="C72" s="79" t="s">
        <v>38</v>
      </c>
      <c r="D72" s="93">
        <f>(Demand!B24+D265+D271+D272+D274)/'Stations Data'!$E13</f>
        <v>4.909875885389277</v>
      </c>
      <c r="E72" s="93">
        <f>(Demand!C24+E265+E271+E272+E274)/'Stations Data'!$E13</f>
        <v>4.9071375960249908</v>
      </c>
      <c r="F72" s="93">
        <f>(Demand!D24+F265+F271+F272+F274)/'Stations Data'!$E13</f>
        <v>4.6656974502905744</v>
      </c>
      <c r="G72" s="93">
        <f>(Demand!E24+G265+G271+G272+G274)/'Stations Data'!$E13</f>
        <v>4.0711890180211352</v>
      </c>
      <c r="H72" s="93">
        <f>(Demand!F24+H265+H271+H272+H274)/'Stations Data'!$E13</f>
        <v>4.5714831818506312</v>
      </c>
      <c r="I72" s="93">
        <f>(Demand!G24+I265+I271+I272+I274)/'Stations Data'!$E13</f>
        <v>4.5720180039920928</v>
      </c>
      <c r="J72" s="93">
        <f>(Demand!H24+J265+J271+J272+J274)/'Stations Data'!$E13</f>
        <v>4.8337171742522704</v>
      </c>
      <c r="K72" s="93">
        <f>(Demand!I24+K265+K271+K272+K274)/'Stations Data'!$E13</f>
        <v>5.2034076313164528</v>
      </c>
      <c r="L72" s="93">
        <f>(Demand!J24+L265+L271+L272+L274)/'Stations Data'!$E13</f>
        <v>5.7210512855946769</v>
      </c>
      <c r="M72" s="93">
        <f>(Demand!K24+M265+M271+M272+M274)/'Stations Data'!$E13</f>
        <v>7.1950000874323727</v>
      </c>
      <c r="N72" s="93">
        <f>(Demand!L24+N265+N271+N272+N274)/'Stations Data'!$E13</f>
        <v>5.8201003461934366</v>
      </c>
      <c r="O72" s="93">
        <f>(Demand!M24+O265+O271+O272+O274)/'Stations Data'!$E13</f>
        <v>5.7808230081244689</v>
      </c>
      <c r="P72" s="93">
        <f>(Demand!N24+P265+P271+P272+P274)/'Stations Data'!$E13</f>
        <v>5.7274263655209046</v>
      </c>
      <c r="Q72" s="93">
        <f>(Demand!O24+Q265+Q271+Q272+Q274)/'Stations Data'!$E13</f>
        <v>5.4317338999494025</v>
      </c>
      <c r="R72" s="93">
        <f>(Demand!P24+R265+R271+R272+R274)/'Stations Data'!$E13</f>
        <v>4.9811424635621089</v>
      </c>
      <c r="S72" s="93">
        <f>(Demand!Q24+S265+S271+S272+S274)/'Stations Data'!$E13</f>
        <v>4.9322914889667873</v>
      </c>
      <c r="T72" s="93">
        <f>(Demand!R24+T265+T271+T272+T274)/'Stations Data'!$E13</f>
        <v>5.0967213105376157</v>
      </c>
      <c r="U72" s="93">
        <f>(Demand!S24+U265+U271+U272+U274)/'Stations Data'!$E13</f>
        <v>4.6682794373373389</v>
      </c>
      <c r="V72" s="93">
        <f>(Demand!T24+V265+V271+V272+V274)/'Stations Data'!$E13</f>
        <v>4.7292228056818422</v>
      </c>
      <c r="W72" s="93">
        <f>(Demand!U24+W265+W271+W272+W274)/'Stations Data'!$E13</f>
        <v>4.6166370113577697</v>
      </c>
      <c r="X72" s="93">
        <f>(Demand!V24+X265+X271+X272+X274)/'Stations Data'!$E13</f>
        <v>5.1945823517071466</v>
      </c>
      <c r="Y72" s="93">
        <f>(Demand!W24+Y265+Y271+Y272+Y274)/'Stations Data'!$E13</f>
        <v>4.996355873195677</v>
      </c>
      <c r="Z72" s="93">
        <f>(Demand!X24+Z265+Z271+Z272+Z274)/'Stations Data'!$E13</f>
        <v>4.97098391080472</v>
      </c>
      <c r="AA72" s="93">
        <f>(Demand!Y24+AA265+AA271+AA272+AA274)/'Stations Data'!$E13</f>
        <v>5.9455768492599521</v>
      </c>
    </row>
    <row r="73" spans="1:27" x14ac:dyDescent="0.35">
      <c r="A73" s="105"/>
      <c r="B73" s="105"/>
      <c r="C73" s="79" t="s">
        <v>39</v>
      </c>
      <c r="D73" s="93">
        <v>8</v>
      </c>
      <c r="E73" s="93">
        <v>8</v>
      </c>
      <c r="F73" s="93">
        <v>8</v>
      </c>
      <c r="G73" s="93">
        <v>8</v>
      </c>
      <c r="H73" s="93">
        <v>8</v>
      </c>
      <c r="I73" s="93">
        <v>8</v>
      </c>
      <c r="J73" s="93">
        <v>8</v>
      </c>
      <c r="K73" s="93">
        <v>8</v>
      </c>
      <c r="L73" s="93">
        <v>8</v>
      </c>
      <c r="M73" s="93">
        <v>8</v>
      </c>
      <c r="N73" s="93">
        <v>8</v>
      </c>
      <c r="O73" s="93">
        <v>8</v>
      </c>
      <c r="P73" s="93">
        <v>8</v>
      </c>
      <c r="Q73" s="93">
        <v>8</v>
      </c>
      <c r="R73" s="93">
        <v>8</v>
      </c>
      <c r="S73" s="93">
        <v>8</v>
      </c>
      <c r="T73" s="93">
        <v>8</v>
      </c>
      <c r="U73" s="93">
        <v>8</v>
      </c>
      <c r="V73" s="93">
        <v>8</v>
      </c>
      <c r="W73" s="93">
        <v>8</v>
      </c>
      <c r="X73" s="93">
        <v>8</v>
      </c>
      <c r="Y73" s="93">
        <v>8</v>
      </c>
      <c r="Z73" s="93">
        <v>8</v>
      </c>
      <c r="AA73" s="93">
        <v>8</v>
      </c>
    </row>
    <row r="74" spans="1:27" x14ac:dyDescent="0.35">
      <c r="A74" s="105"/>
      <c r="B74" s="105"/>
      <c r="C74" s="80" t="s">
        <v>40</v>
      </c>
    </row>
    <row r="75" spans="1:27" x14ac:dyDescent="0.35">
      <c r="A75" s="105"/>
      <c r="B75" s="105"/>
      <c r="C75" s="80" t="s">
        <v>41</v>
      </c>
      <c r="E75" s="93">
        <f t="shared" ref="E75:V75" si="26">D270-E270</f>
        <v>0</v>
      </c>
      <c r="F75" s="93">
        <f t="shared" si="26"/>
        <v>0</v>
      </c>
      <c r="G75" s="93">
        <f t="shared" si="26"/>
        <v>0</v>
      </c>
      <c r="H75" s="93">
        <f t="shared" si="26"/>
        <v>0</v>
      </c>
      <c r="I75" s="93">
        <f t="shared" si="26"/>
        <v>0</v>
      </c>
      <c r="J75" s="93">
        <f t="shared" si="26"/>
        <v>0</v>
      </c>
      <c r="K75" s="93">
        <f t="shared" si="26"/>
        <v>0</v>
      </c>
      <c r="L75" s="93">
        <f t="shared" si="26"/>
        <v>0</v>
      </c>
      <c r="M75" s="93">
        <f t="shared" si="26"/>
        <v>0</v>
      </c>
      <c r="N75" s="93">
        <f t="shared" si="26"/>
        <v>0</v>
      </c>
      <c r="O75" s="93">
        <f t="shared" si="26"/>
        <v>0</v>
      </c>
      <c r="P75" s="93">
        <f t="shared" si="26"/>
        <v>0</v>
      </c>
      <c r="Q75" s="93">
        <f t="shared" si="26"/>
        <v>1</v>
      </c>
      <c r="R75" s="93">
        <f t="shared" si="26"/>
        <v>0</v>
      </c>
      <c r="S75" s="93">
        <f t="shared" si="26"/>
        <v>1</v>
      </c>
      <c r="T75" s="93">
        <f t="shared" si="26"/>
        <v>0</v>
      </c>
      <c r="U75" s="93">
        <f t="shared" si="26"/>
        <v>0</v>
      </c>
      <c r="V75" s="93">
        <f t="shared" si="26"/>
        <v>0</v>
      </c>
      <c r="W75" s="93">
        <f>V270-W270</f>
        <v>0</v>
      </c>
      <c r="X75" s="93">
        <f>W270-X270</f>
        <v>0</v>
      </c>
      <c r="Y75" s="93">
        <f>X270-Y270</f>
        <v>0</v>
      </c>
      <c r="Z75" s="93">
        <f>Y270-Z270</f>
        <v>0</v>
      </c>
      <c r="AA75" s="93">
        <f>Z270-AA270</f>
        <v>0</v>
      </c>
    </row>
    <row r="76" spans="1:27" x14ac:dyDescent="0.35">
      <c r="A76" s="105"/>
      <c r="B76" s="105"/>
      <c r="C76" s="80" t="s">
        <v>42</v>
      </c>
      <c r="E76" s="93">
        <f t="shared" ref="E76:V76" si="27">-(D270-E270)</f>
        <v>0</v>
      </c>
      <c r="F76" s="93">
        <f t="shared" si="27"/>
        <v>0</v>
      </c>
      <c r="G76" s="93">
        <f t="shared" si="27"/>
        <v>0</v>
      </c>
      <c r="H76" s="93">
        <f t="shared" si="27"/>
        <v>0</v>
      </c>
      <c r="I76" s="93">
        <f t="shared" si="27"/>
        <v>0</v>
      </c>
      <c r="J76" s="93">
        <f t="shared" si="27"/>
        <v>0</v>
      </c>
      <c r="K76" s="93">
        <f t="shared" si="27"/>
        <v>0</v>
      </c>
      <c r="L76" s="93">
        <f t="shared" si="27"/>
        <v>0</v>
      </c>
      <c r="M76" s="93">
        <f t="shared" si="27"/>
        <v>0</v>
      </c>
      <c r="N76" s="93">
        <f t="shared" si="27"/>
        <v>0</v>
      </c>
      <c r="O76" s="93">
        <f t="shared" si="27"/>
        <v>0</v>
      </c>
      <c r="P76" s="93">
        <f t="shared" si="27"/>
        <v>0</v>
      </c>
      <c r="Q76" s="93">
        <f t="shared" si="27"/>
        <v>-1</v>
      </c>
      <c r="R76" s="93">
        <f t="shared" si="27"/>
        <v>0</v>
      </c>
      <c r="S76" s="93">
        <f t="shared" si="27"/>
        <v>-1</v>
      </c>
      <c r="T76" s="93">
        <f t="shared" si="27"/>
        <v>0</v>
      </c>
      <c r="U76" s="93">
        <f t="shared" si="27"/>
        <v>0</v>
      </c>
      <c r="V76" s="93">
        <f t="shared" si="27"/>
        <v>0</v>
      </c>
      <c r="W76" s="93">
        <f>-(V270-W270)</f>
        <v>0</v>
      </c>
      <c r="X76" s="93">
        <f>-(W270-X270)</f>
        <v>0</v>
      </c>
      <c r="Y76" s="93">
        <f>-(X270-Y270)</f>
        <v>0</v>
      </c>
      <c r="Z76" s="93">
        <f>-(Y270-Z270)</f>
        <v>0</v>
      </c>
      <c r="AA76" s="93">
        <f>-(Z270-AA270)</f>
        <v>0</v>
      </c>
    </row>
    <row r="77" spans="1:27" x14ac:dyDescent="0.35">
      <c r="A77" s="105"/>
      <c r="B77" s="105"/>
      <c r="C77" s="80" t="s">
        <v>43</v>
      </c>
      <c r="D77" s="93">
        <v>2</v>
      </c>
      <c r="G77" s="93" t="s">
        <v>44</v>
      </c>
      <c r="I77" s="93">
        <f>SUM(E269:AA269)</f>
        <v>2</v>
      </c>
    </row>
    <row r="78" spans="1:27" x14ac:dyDescent="0.35">
      <c r="A78" s="105"/>
      <c r="B78" s="105"/>
      <c r="C78" s="76" t="s">
        <v>48</v>
      </c>
      <c r="D78" s="93">
        <f>'Stations Data'!$J$13+SUM(Production!$B3:B3)-SUM($D270:D270)*'Stations Data'!$E13-SUM(Demand!$B19:B19)</f>
        <v>851643.69609417068</v>
      </c>
      <c r="E78" s="93">
        <f>'Stations Data'!$J$13+SUM(Production!$B3:C3)-SUM($D270:E270)*'Stations Data'!$E13-SUM(Demand!$B19:C19)</f>
        <v>847530.60048428411</v>
      </c>
      <c r="F78" s="93">
        <f>'Stations Data'!$J$13+SUM(Production!$B3:D3)-SUM($D270:F270)*'Stations Data'!$E13-SUM(Demand!$B19:D19)</f>
        <v>843526.61831005046</v>
      </c>
      <c r="G78" s="93">
        <f>'Stations Data'!$J$13+SUM(Production!$B3:E3)-SUM($D270:G270)*'Stations Data'!$E13-SUM(Demand!$B19:E19)</f>
        <v>840662.26535263564</v>
      </c>
      <c r="H78" s="93">
        <f>'Stations Data'!$J$13+SUM(Production!$B3:F3)-SUM($D270:H270)*'Stations Data'!$E13-SUM(Demand!$B19:F19)</f>
        <v>836828.01518941752</v>
      </c>
      <c r="I78" s="93">
        <f>'Stations Data'!$J$13+SUM(Production!$B3:G3)-SUM($D270:I270)*'Stations Data'!$E13-SUM(Demand!$B19:G19)</f>
        <v>832824.03301518399</v>
      </c>
      <c r="J78" s="93">
        <f>'Stations Data'!$J$13+SUM(Production!$B3:H3)-SUM($D270:J270)*'Stations Data'!$E13-SUM(Demand!$B19:H19)</f>
        <v>828698.8136902249</v>
      </c>
      <c r="K78" s="93">
        <f>'Stations Data'!$J$13+SUM(Production!$B3:I3)-SUM($D270:K270)*'Stations Data'!$E13-SUM(Demand!$B19:I19)</f>
        <v>823994.99006342888</v>
      </c>
      <c r="L78" s="93">
        <f>'Stations Data'!$J$13+SUM(Production!$B3:J3)-SUM($D270:L270)*'Stations Data'!$E13-SUM(Demand!$B19:J19)</f>
        <v>819303.2901517055</v>
      </c>
      <c r="M78" s="93">
        <f>'Stations Data'!$J$13+SUM(Production!$B3:K3)-SUM($D270:M270)*'Stations Data'!$E13-SUM(Demand!$B19:K19)</f>
        <v>814660.0851002722</v>
      </c>
      <c r="N78" s="93">
        <f>'Stations Data'!$J$13+SUM(Production!$B3:L3)-SUM($D270:N270)*'Stations Data'!$E13-SUM(Demand!$B19:L19)</f>
        <v>810029.00376391143</v>
      </c>
      <c r="O78" s="93">
        <f>'Stations Data'!$J$13+SUM(Production!$B3:M3)-SUM($D270:O270)*'Stations Data'!$E13-SUM(Demand!$B19:M19)</f>
        <v>805373.67499740561</v>
      </c>
      <c r="P78" s="93">
        <f>'Stations Data'!$J$13+SUM(Production!$B3:N3)-SUM($D270:P270)*'Stations Data'!$E13-SUM(Demand!$B19:N19)</f>
        <v>800730.46994597232</v>
      </c>
      <c r="Q78" s="93">
        <f>'Stations Data'!$J$13+SUM(Production!$B3:O3)-SUM($D270:Q270)*'Stations Data'!$E13-SUM(Demand!$B19:O19)</f>
        <v>801672.13090004679</v>
      </c>
      <c r="R78" s="93">
        <f>'Stations Data'!$J$13+SUM(Production!$B3:P3)-SUM($D270:R270)*'Stations Data'!$E13-SUM(Demand!$B19:P19)</f>
        <v>802852.93213392701</v>
      </c>
      <c r="S78" s="93">
        <f>'Stations Data'!$J$13+SUM(Production!$B3:Q3)-SUM($D270:S270)*'Stations Data'!$E13-SUM(Demand!$B19:Q19)</f>
        <v>809557.98079795251</v>
      </c>
      <c r="T78" s="93">
        <f>'Stations Data'!$J$13+SUM(Production!$B3:R3)-SUM($D270:T270)*'Stations Data'!$E13-SUM(Demand!$B19:R19)</f>
        <v>816238.78203183284</v>
      </c>
      <c r="U78" s="93">
        <f>'Stations Data'!$J$13+SUM(Production!$B3:S3)-SUM($D270:U270)*'Stations Data'!$E13-SUM(Demand!$B19:S19)</f>
        <v>822895.33583556802</v>
      </c>
      <c r="V78" s="93">
        <f>'Stations Data'!$J$13+SUM(Production!$B3:T3)-SUM($D270:V270)*'Stations Data'!$E13-SUM(Demand!$B19:T19)</f>
        <v>829370.03391321516</v>
      </c>
      <c r="W78" s="93">
        <f>'Stations Data'!$J$13+SUM(Production!$B3:U3)-SUM($D270:W270)*'Stations Data'!$E13-SUM(Demand!$B19:U19)</f>
        <v>835881.10313607997</v>
      </c>
      <c r="X78" s="93">
        <f>'Stations Data'!$J$13+SUM(Production!$B3:V3)-SUM($D270:X270)*'Stations Data'!$E13-SUM(Demand!$B19:V19)</f>
        <v>842319.43006850954</v>
      </c>
      <c r="Y78" s="93">
        <f>'Stations Data'!$J$13+SUM(Production!$B3:W3)-SUM($D270:Y270)*'Stations Data'!$E13-SUM(Demand!$B19:W19)</f>
        <v>848745.63328586647</v>
      </c>
      <c r="Z78" s="93">
        <f>'Stations Data'!$J$13+SUM(Production!$B3:X3)-SUM($D270:Z270)*'Stations Data'!$E13-SUM(Demand!$B19:X19)</f>
        <v>855099.09421278827</v>
      </c>
      <c r="AA78" s="93">
        <f>'Stations Data'!$J$13+SUM(Production!$B3:Y3)-SUM($D270:AA270)*'Stations Data'!$E13-SUM(Demand!$B19:Y19)</f>
        <v>861501.05000000016</v>
      </c>
    </row>
    <row r="79" spans="1:27" x14ac:dyDescent="0.35">
      <c r="A79" s="105"/>
      <c r="B79" s="105"/>
      <c r="C79" s="83" t="s">
        <v>37</v>
      </c>
      <c r="D79" s="93">
        <f t="shared" ref="D79:U79" si="28">D270</f>
        <v>8</v>
      </c>
      <c r="E79" s="93">
        <f t="shared" si="28"/>
        <v>8</v>
      </c>
      <c r="F79" s="93">
        <f t="shared" si="28"/>
        <v>8</v>
      </c>
      <c r="G79" s="93">
        <f t="shared" si="28"/>
        <v>8</v>
      </c>
      <c r="H79" s="93">
        <f t="shared" si="28"/>
        <v>8</v>
      </c>
      <c r="I79" s="93">
        <f t="shared" si="28"/>
        <v>8</v>
      </c>
      <c r="J79" s="93">
        <f t="shared" si="28"/>
        <v>8</v>
      </c>
      <c r="K79" s="93">
        <f t="shared" si="28"/>
        <v>8</v>
      </c>
      <c r="L79" s="93">
        <f t="shared" si="28"/>
        <v>8</v>
      </c>
      <c r="M79" s="93">
        <f t="shared" si="28"/>
        <v>8</v>
      </c>
      <c r="N79" s="93">
        <f t="shared" si="28"/>
        <v>8</v>
      </c>
      <c r="O79" s="93">
        <f t="shared" si="28"/>
        <v>8</v>
      </c>
      <c r="P79" s="93">
        <f t="shared" si="28"/>
        <v>8</v>
      </c>
      <c r="Q79" s="93">
        <f t="shared" si="28"/>
        <v>7</v>
      </c>
      <c r="R79" s="93">
        <f t="shared" si="28"/>
        <v>7</v>
      </c>
      <c r="S79" s="93">
        <f t="shared" si="28"/>
        <v>6</v>
      </c>
      <c r="T79" s="93">
        <f t="shared" si="28"/>
        <v>6</v>
      </c>
      <c r="U79" s="93">
        <f t="shared" si="28"/>
        <v>6</v>
      </c>
      <c r="V79" s="93">
        <f t="shared" ref="V79:AA79" si="29">V270</f>
        <v>6</v>
      </c>
      <c r="W79" s="93">
        <f t="shared" si="29"/>
        <v>6</v>
      </c>
      <c r="X79" s="93">
        <f t="shared" si="29"/>
        <v>6</v>
      </c>
      <c r="Y79" s="93">
        <f t="shared" si="29"/>
        <v>6</v>
      </c>
      <c r="Z79" s="93">
        <f t="shared" si="29"/>
        <v>6</v>
      </c>
      <c r="AA79" s="93">
        <f t="shared" si="29"/>
        <v>6</v>
      </c>
    </row>
    <row r="80" spans="1:27" x14ac:dyDescent="0.35">
      <c r="A80" s="105"/>
      <c r="B80" s="105"/>
      <c r="C80" s="76" t="s">
        <v>8</v>
      </c>
      <c r="D80" s="95">
        <f>SUM(D79:AA79)*'Stations Data'!E13/4545</f>
        <v>208.14081408140814</v>
      </c>
      <c r="F80" s="93" t="s">
        <v>5</v>
      </c>
      <c r="I80" s="95">
        <f>'Stations Data'!B13*'Stations Data'!E13*SUM('Total network optimization'!D270:AA270)</f>
        <v>1852006.9985999998</v>
      </c>
      <c r="K80" s="93" t="s">
        <v>6</v>
      </c>
      <c r="M80" s="95">
        <f>SUMPRODUCT(D68:AA68,D270:AA270)*'Stations Data'!E13</f>
        <v>360032.31402434997</v>
      </c>
      <c r="Q80" s="96" t="s">
        <v>29</v>
      </c>
      <c r="S80" s="93">
        <f>AA78-'Stations Data'!L13</f>
        <v>5586.6500000000233</v>
      </c>
      <c r="U80" s="93" t="s">
        <v>31</v>
      </c>
      <c r="X80" s="93">
        <f>('Stations Data'!N13/'Stations Data'!N3)*S13</f>
        <v>5586.6508430924223</v>
      </c>
    </row>
    <row r="81" spans="1:27" x14ac:dyDescent="0.35">
      <c r="A81" s="107" t="s">
        <v>181</v>
      </c>
      <c r="B81" s="107"/>
      <c r="C81" s="76" t="s">
        <v>45</v>
      </c>
      <c r="D81" s="95">
        <f>SUM($D271:D271)-SUM(Demand!$B20:B20)</f>
        <v>377.31962607528249</v>
      </c>
      <c r="E81" s="95">
        <f>SUM($D271:E271)-SUM(Demand!$B20:C20)</f>
        <v>753.50927353189854</v>
      </c>
      <c r="F81" s="95">
        <f>SUM($D271:F271)-SUM(Demand!$B20:D20)</f>
        <v>1130.8288996071806</v>
      </c>
      <c r="G81" s="95">
        <f>SUM($D271:G271)-SUM(Demand!$B20:E20)</f>
        <v>-1490.7214956988701</v>
      </c>
      <c r="H81" s="95">
        <f>SUM($D271:H271)-SUM(Demand!$B20:F20)</f>
        <v>-1112.2718910049207</v>
      </c>
      <c r="I81" s="95">
        <f>SUM($D271:I271)-SUM(Demand!$B20:G20)</f>
        <v>-719.13256426830776</v>
      </c>
      <c r="J81" s="95">
        <f>SUM($D271:J271)-SUM(Demand!$B20:H20)</f>
        <v>-368.93242504102091</v>
      </c>
      <c r="K81" s="95">
        <f>SUM($D271:K271)-SUM(Demand!$B20:I20)</f>
        <v>-354.33593555765401</v>
      </c>
      <c r="L81" s="95">
        <f>SUM($D271:L271)-SUM(Demand!$B20:J20)</f>
        <v>-343.12938193028458</v>
      </c>
      <c r="M81" s="95">
        <f>SUM($D271:M271)-SUM(Demand!$B20:K20)</f>
        <v>-501.41962110287568</v>
      </c>
      <c r="N81" s="95">
        <f>SUM($D271:N271)-SUM(Demand!$B20:L20)</f>
        <v>-659.70986027546678</v>
      </c>
      <c r="O81" s="95">
        <f>SUM($D271:O271)-SUM(Demand!$B20:M20)</f>
        <v>-760.37118989607552</v>
      </c>
      <c r="P81" s="95">
        <f>SUM($D271:P271)-SUM(Demand!$B20:N20)</f>
        <v>-884.76207050867379</v>
      </c>
      <c r="Q81" s="95">
        <f>SUM($D271:Q271)-SUM(Demand!$B20:O20)</f>
        <v>-820.44652180398407</v>
      </c>
      <c r="R81" s="95">
        <f>SUM($D271:R271)-SUM(Demand!$B20:P20)</f>
        <v>-1578.8710158619651</v>
      </c>
      <c r="S81" s="95">
        <f>SUM($D271:S271)-SUM(Demand!$B20:Q20)</f>
        <v>-1565.4045049972628</v>
      </c>
      <c r="T81" s="95">
        <f>SUM($D271:T271)-SUM(Demand!$B20:R20)</f>
        <v>-1591.4872457858874</v>
      </c>
      <c r="U81" s="95">
        <f>SUM($D271:U271)-SUM(Demand!$B20:S20)</f>
        <v>-1627.7397941425079</v>
      </c>
      <c r="V81" s="95">
        <f>SUM($D271:V271)-SUM(Demand!$B20:T20)</f>
        <v>-1425.5668539605176</v>
      </c>
      <c r="W81" s="95">
        <f>SUM($D271:W271)-SUM(Demand!$B20:U20)</f>
        <v>-1222.2639351598627</v>
      </c>
      <c r="X81" s="95">
        <f>SUM($D271:X271)-SUM(Demand!$B20:V20)</f>
        <v>-1020.0909949778725</v>
      </c>
      <c r="Y81" s="95">
        <f>SUM($D271:Y271)-SUM(Demand!$B20:W20)</f>
        <v>-703.79021431057481</v>
      </c>
      <c r="Z81" s="95">
        <f>SUM($D271:Z271)-SUM(Demand!$B20:X20)</f>
        <v>-352.46009646462335</v>
      </c>
      <c r="AA81" s="95">
        <f>SUM($D271:AA271)-SUM(Demand!$B20:Y20)</f>
        <v>0</v>
      </c>
    </row>
    <row r="82" spans="1:27" x14ac:dyDescent="0.35">
      <c r="A82" s="107"/>
      <c r="B82" s="107"/>
      <c r="C82" s="76" t="s">
        <v>46</v>
      </c>
      <c r="D82" s="95">
        <f>'Stations Data'!$H15-'Stations Data'!$J15</f>
        <v>-18180</v>
      </c>
      <c r="E82" s="95">
        <f>'Stations Data'!$H15-'Stations Data'!$J15</f>
        <v>-18180</v>
      </c>
      <c r="F82" s="95">
        <f>'Stations Data'!$H15-'Stations Data'!$J15</f>
        <v>-18180</v>
      </c>
      <c r="G82" s="95">
        <f>'Stations Data'!$H15-'Stations Data'!$J15</f>
        <v>-18180</v>
      </c>
      <c r="H82" s="95">
        <f>'Stations Data'!$H15-'Stations Data'!$J15</f>
        <v>-18180</v>
      </c>
      <c r="I82" s="95">
        <f>'Stations Data'!$H15-'Stations Data'!$J15</f>
        <v>-18180</v>
      </c>
      <c r="J82" s="95">
        <f>'Stations Data'!$H15-'Stations Data'!$J15</f>
        <v>-18180</v>
      </c>
      <c r="K82" s="95">
        <f>'Stations Data'!$H15-'Stations Data'!$J15</f>
        <v>-18180</v>
      </c>
      <c r="L82" s="95">
        <f>'Stations Data'!$H15-'Stations Data'!$J15</f>
        <v>-18180</v>
      </c>
      <c r="M82" s="95">
        <f>'Stations Data'!$H15-'Stations Data'!$J15</f>
        <v>-18180</v>
      </c>
      <c r="N82" s="95">
        <f>'Stations Data'!$H15-'Stations Data'!$J15</f>
        <v>-18180</v>
      </c>
      <c r="O82" s="95">
        <f>'Stations Data'!$H15-'Stations Data'!$J15</f>
        <v>-18180</v>
      </c>
      <c r="P82" s="95">
        <f>'Stations Data'!$H15-'Stations Data'!$J15</f>
        <v>-18180</v>
      </c>
      <c r="Q82" s="95">
        <f>'Stations Data'!$H15-'Stations Data'!$J15</f>
        <v>-18180</v>
      </c>
      <c r="R82" s="95">
        <f>'Stations Data'!$H15-'Stations Data'!$J15</f>
        <v>-18180</v>
      </c>
      <c r="S82" s="95">
        <f>'Stations Data'!$H15-'Stations Data'!$J15</f>
        <v>-18180</v>
      </c>
      <c r="T82" s="95">
        <f>'Stations Data'!$H15-'Stations Data'!$J15</f>
        <v>-18180</v>
      </c>
      <c r="U82" s="95">
        <f>'Stations Data'!$H15-'Stations Data'!$J15</f>
        <v>-18180</v>
      </c>
      <c r="V82" s="95">
        <f>'Stations Data'!$H15-'Stations Data'!$J15</f>
        <v>-18180</v>
      </c>
      <c r="W82" s="95">
        <f>'Stations Data'!$H15-'Stations Data'!$J15</f>
        <v>-18180</v>
      </c>
      <c r="X82" s="95">
        <f>'Stations Data'!$H15-'Stations Data'!$J15</f>
        <v>-18180</v>
      </c>
      <c r="Y82" s="95">
        <f>'Stations Data'!$H15-'Stations Data'!$J15</f>
        <v>-18180</v>
      </c>
      <c r="Z82" s="95">
        <f>'Stations Data'!$H15-'Stations Data'!$J15</f>
        <v>-18180</v>
      </c>
      <c r="AA82" s="95">
        <f>'Stations Data'!$L15-'Stations Data'!$J15</f>
        <v>0</v>
      </c>
    </row>
    <row r="83" spans="1:27" x14ac:dyDescent="0.35">
      <c r="A83" s="107"/>
      <c r="B83" s="107"/>
      <c r="C83" s="79" t="s">
        <v>47</v>
      </c>
      <c r="D83" s="95">
        <f>'Stations Data'!$N15-'Stations Data'!$J15</f>
        <v>26885.915492957749</v>
      </c>
      <c r="E83" s="95">
        <f>'Stations Data'!$N15-'Stations Data'!$J15</f>
        <v>26885.915492957749</v>
      </c>
      <c r="F83" s="95">
        <f>'Stations Data'!$N15-'Stations Data'!$J15</f>
        <v>26885.915492957749</v>
      </c>
      <c r="G83" s="95">
        <f>'Stations Data'!$N15-'Stations Data'!$J15</f>
        <v>26885.915492957749</v>
      </c>
      <c r="H83" s="95">
        <f>'Stations Data'!$N15-'Stations Data'!$J15</f>
        <v>26885.915492957749</v>
      </c>
      <c r="I83" s="95">
        <f>'Stations Data'!$N15-'Stations Data'!$J15</f>
        <v>26885.915492957749</v>
      </c>
      <c r="J83" s="95">
        <f>'Stations Data'!$N15-'Stations Data'!$J15</f>
        <v>26885.915492957749</v>
      </c>
      <c r="K83" s="95">
        <f>'Stations Data'!$N15-'Stations Data'!$J15</f>
        <v>26885.915492957749</v>
      </c>
      <c r="L83" s="95">
        <f>'Stations Data'!$N15-'Stations Data'!$J15</f>
        <v>26885.915492957749</v>
      </c>
      <c r="M83" s="95">
        <f>'Stations Data'!$N15-'Stations Data'!$J15</f>
        <v>26885.915492957749</v>
      </c>
      <c r="N83" s="95">
        <f>'Stations Data'!$N15-'Stations Data'!$J15</f>
        <v>26885.915492957749</v>
      </c>
      <c r="O83" s="95">
        <f>'Stations Data'!$N15-'Stations Data'!$J15</f>
        <v>26885.915492957749</v>
      </c>
      <c r="P83" s="95">
        <f>'Stations Data'!$N15-'Stations Data'!$J15</f>
        <v>26885.915492957749</v>
      </c>
      <c r="Q83" s="95">
        <f>'Stations Data'!$N15-'Stations Data'!$J15</f>
        <v>26885.915492957749</v>
      </c>
      <c r="R83" s="95">
        <f>'Stations Data'!$N15-'Stations Data'!$J15</f>
        <v>26885.915492957749</v>
      </c>
      <c r="S83" s="95">
        <f>'Stations Data'!$N15-'Stations Data'!$J15</f>
        <v>26885.915492957749</v>
      </c>
      <c r="T83" s="95">
        <f>'Stations Data'!$N15-'Stations Data'!$J15</f>
        <v>26885.915492957749</v>
      </c>
      <c r="U83" s="95">
        <f>'Stations Data'!$N15-'Stations Data'!$J15</f>
        <v>26885.915492957749</v>
      </c>
      <c r="V83" s="95">
        <f>'Stations Data'!$N15-'Stations Data'!$J15</f>
        <v>26885.915492957749</v>
      </c>
      <c r="W83" s="95">
        <f>'Stations Data'!$N15-'Stations Data'!$J15</f>
        <v>26885.915492957749</v>
      </c>
      <c r="X83" s="95">
        <f>'Stations Data'!$N15-'Stations Data'!$J15</f>
        <v>26885.915492957749</v>
      </c>
      <c r="Y83" s="95">
        <f>'Stations Data'!$N15-'Stations Data'!$J15</f>
        <v>26885.915492957749</v>
      </c>
      <c r="Z83" s="95">
        <f>'Stations Data'!$N15-'Stations Data'!$J15</f>
        <v>26885.915492957749</v>
      </c>
      <c r="AA83" s="95">
        <f>'Stations Data'!$N15-'Stations Data'!$J15</f>
        <v>26885.915492957749</v>
      </c>
    </row>
    <row r="84" spans="1:27" x14ac:dyDescent="0.35">
      <c r="A84" s="107"/>
      <c r="B84" s="107"/>
      <c r="C84" s="80" t="s">
        <v>57</v>
      </c>
      <c r="D84" s="95">
        <v>3000</v>
      </c>
      <c r="E84" s="95">
        <v>3000</v>
      </c>
      <c r="F84" s="95">
        <v>3000</v>
      </c>
      <c r="G84" s="95">
        <v>3000</v>
      </c>
      <c r="H84" s="95">
        <v>3000</v>
      </c>
      <c r="I84" s="95">
        <v>3000</v>
      </c>
      <c r="J84" s="95">
        <v>3000</v>
      </c>
      <c r="K84" s="95">
        <v>3000</v>
      </c>
      <c r="L84" s="95">
        <v>3000</v>
      </c>
      <c r="M84" s="95">
        <v>3000</v>
      </c>
      <c r="N84" s="95">
        <v>3000</v>
      </c>
      <c r="O84" s="95">
        <v>3000</v>
      </c>
      <c r="P84" s="95">
        <v>3000</v>
      </c>
      <c r="Q84" s="95">
        <v>3000</v>
      </c>
      <c r="R84" s="95">
        <v>3000</v>
      </c>
      <c r="S84" s="95">
        <v>3000</v>
      </c>
      <c r="T84" s="95">
        <v>3000</v>
      </c>
      <c r="U84" s="95">
        <v>3000</v>
      </c>
      <c r="V84" s="95">
        <v>3000</v>
      </c>
      <c r="W84" s="95">
        <v>3000</v>
      </c>
      <c r="X84" s="95">
        <v>3000</v>
      </c>
      <c r="Y84" s="95">
        <v>3000</v>
      </c>
      <c r="Z84" s="95">
        <v>3000</v>
      </c>
      <c r="AA84" s="95">
        <v>3000</v>
      </c>
    </row>
    <row r="85" spans="1:27" x14ac:dyDescent="0.35">
      <c r="A85" s="107"/>
      <c r="B85" s="107"/>
      <c r="C85" s="82" t="s">
        <v>61</v>
      </c>
      <c r="D85" s="93">
        <f t="shared" ref="D85:U85" si="30">D271</f>
        <v>3000</v>
      </c>
      <c r="E85" s="93">
        <f t="shared" si="30"/>
        <v>3000</v>
      </c>
      <c r="F85" s="93">
        <f t="shared" si="30"/>
        <v>3000</v>
      </c>
      <c r="G85" s="93">
        <f t="shared" si="30"/>
        <v>0</v>
      </c>
      <c r="H85" s="93">
        <f t="shared" si="30"/>
        <v>3000</v>
      </c>
      <c r="I85" s="93">
        <f t="shared" si="30"/>
        <v>3000</v>
      </c>
      <c r="J85" s="93">
        <f t="shared" si="30"/>
        <v>3000</v>
      </c>
      <c r="K85" s="93">
        <f t="shared" si="30"/>
        <v>3000</v>
      </c>
      <c r="L85" s="93">
        <f t="shared" si="30"/>
        <v>3000</v>
      </c>
      <c r="M85" s="93">
        <f t="shared" si="30"/>
        <v>3000</v>
      </c>
      <c r="N85" s="93">
        <f t="shared" si="30"/>
        <v>3000</v>
      </c>
      <c r="O85" s="93">
        <f t="shared" si="30"/>
        <v>3000</v>
      </c>
      <c r="P85" s="93">
        <f t="shared" si="30"/>
        <v>3000</v>
      </c>
      <c r="Q85" s="93">
        <f t="shared" si="30"/>
        <v>3000</v>
      </c>
      <c r="R85" s="93">
        <f t="shared" si="30"/>
        <v>2175</v>
      </c>
      <c r="S85" s="93">
        <f t="shared" si="30"/>
        <v>3000</v>
      </c>
      <c r="T85" s="93">
        <f t="shared" si="30"/>
        <v>3000</v>
      </c>
      <c r="U85" s="93">
        <f t="shared" si="30"/>
        <v>3000</v>
      </c>
      <c r="V85" s="93">
        <f t="shared" ref="V85:AA85" si="31">V271</f>
        <v>3000</v>
      </c>
      <c r="W85" s="93">
        <f t="shared" si="31"/>
        <v>3000</v>
      </c>
      <c r="X85" s="93">
        <f t="shared" si="31"/>
        <v>3000</v>
      </c>
      <c r="Y85" s="93">
        <f t="shared" si="31"/>
        <v>3000</v>
      </c>
      <c r="Z85" s="93">
        <f t="shared" si="31"/>
        <v>3000</v>
      </c>
      <c r="AA85" s="93">
        <f t="shared" si="31"/>
        <v>3000</v>
      </c>
    </row>
    <row r="86" spans="1:27" x14ac:dyDescent="0.35">
      <c r="A86" s="107"/>
      <c r="B86" s="107"/>
      <c r="C86" s="80" t="s">
        <v>48</v>
      </c>
      <c r="D86" s="95">
        <f>'Stations Data'!$J15+SUM($D271:D271)-SUM(Demand!$B20:B20)</f>
        <v>54917.319626075281</v>
      </c>
      <c r="E86" s="95">
        <f>'Stations Data'!$J15+SUM($D271:E271)-SUM(Demand!$B20:C20)</f>
        <v>55293.509273531898</v>
      </c>
      <c r="F86" s="95">
        <f>'Stations Data'!$J15+SUM($D271:F271)-SUM(Demand!$B20:D20)</f>
        <v>55670.828899607179</v>
      </c>
      <c r="G86" s="95">
        <f>'Stations Data'!$J15+SUM($D271:G271)-SUM(Demand!$B20:E20)</f>
        <v>53049.278504301132</v>
      </c>
      <c r="H86" s="95">
        <f>'Stations Data'!$J15+SUM($D271:H271)-SUM(Demand!$B20:F20)</f>
        <v>53427.728108995077</v>
      </c>
      <c r="I86" s="95">
        <f>'Stations Data'!$J15+SUM($D271:I271)-SUM(Demand!$B20:G20)</f>
        <v>53820.867435731692</v>
      </c>
      <c r="J86" s="95">
        <f>'Stations Data'!$J15+SUM($D271:J271)-SUM(Demand!$B20:H20)</f>
        <v>54171.067574958979</v>
      </c>
      <c r="K86" s="95">
        <f>'Stations Data'!$J15+SUM($D271:K271)-SUM(Demand!$B20:I20)</f>
        <v>54185.664064442346</v>
      </c>
      <c r="L86" s="95">
        <f>'Stations Data'!$J15+SUM($D271:L271)-SUM(Demand!$B20:J20)</f>
        <v>54196.870618069719</v>
      </c>
      <c r="M86" s="95">
        <f>'Stations Data'!$J15+SUM($D271:M271)-SUM(Demand!$B20:K20)</f>
        <v>54038.580378897124</v>
      </c>
      <c r="N86" s="95">
        <f>'Stations Data'!$J15+SUM($D271:N271)-SUM(Demand!$B20:L20)</f>
        <v>53880.29013972453</v>
      </c>
      <c r="O86" s="95">
        <f>'Stations Data'!$J15+SUM($D271:O271)-SUM(Demand!$B20:M20)</f>
        <v>53779.628810103924</v>
      </c>
      <c r="P86" s="95">
        <f>'Stations Data'!$J15+SUM($D271:P271)-SUM(Demand!$B20:N20)</f>
        <v>53655.237929491326</v>
      </c>
      <c r="Q86" s="95">
        <f>'Stations Data'!$J15+SUM($D271:Q271)-SUM(Demand!$B20:O20)</f>
        <v>53719.553478196016</v>
      </c>
      <c r="R86" s="95">
        <f>'Stations Data'!$J15+SUM($D271:R271)-SUM(Demand!$B20:P20)</f>
        <v>52961.128984138035</v>
      </c>
      <c r="S86" s="95">
        <f>'Stations Data'!$J15+SUM($D271:S271)-SUM(Demand!$B20:Q20)</f>
        <v>52974.595495002737</v>
      </c>
      <c r="T86" s="95">
        <f>'Stations Data'!$J15+SUM($D271:T271)-SUM(Demand!$B20:R20)</f>
        <v>52948.512754214113</v>
      </c>
      <c r="U86" s="95">
        <f>'Stations Data'!$J15+SUM($D271:U271)-SUM(Demand!$B20:S20)</f>
        <v>52912.260205857492</v>
      </c>
      <c r="V86" s="95">
        <f>'Stations Data'!$J15+SUM($D271:V271)-SUM(Demand!$B20:T20)</f>
        <v>53114.433146039482</v>
      </c>
      <c r="W86" s="95">
        <f>'Stations Data'!$J15+SUM($D271:W271)-SUM(Demand!$B20:U20)</f>
        <v>53317.736064840137</v>
      </c>
      <c r="X86" s="95">
        <f>'Stations Data'!$J15+SUM($D271:X271)-SUM(Demand!$B20:V20)</f>
        <v>53519.909005022128</v>
      </c>
      <c r="Y86" s="95">
        <f>'Stations Data'!$J15+SUM($D271:Y271)-SUM(Demand!$B20:W20)</f>
        <v>53836.209785689425</v>
      </c>
      <c r="Z86" s="95">
        <f>'Stations Data'!$J15+SUM($D271:Z271)-SUM(Demand!$B20:X20)</f>
        <v>54187.539903535377</v>
      </c>
      <c r="AA86" s="95">
        <f>'Stations Data'!$J15+SUM($D271:AA271)-SUM(Demand!$B20:Y20)</f>
        <v>54540</v>
      </c>
    </row>
    <row r="87" spans="1:27" x14ac:dyDescent="0.35">
      <c r="A87" s="107" t="s">
        <v>182</v>
      </c>
      <c r="B87" s="107"/>
      <c r="C87" s="79" t="s">
        <v>45</v>
      </c>
      <c r="D87" s="95">
        <f>SUM($D272:D272)-SUM(Demand!$B21:B21)</f>
        <v>116.38890598080252</v>
      </c>
      <c r="E87" s="95">
        <f>SUM($D272:E272)-SUM(Demand!$B21:C21)</f>
        <v>232.63798301747511</v>
      </c>
      <c r="F87" s="95">
        <f>SUM($D272:F272)-SUM(Demand!$B21:D21)</f>
        <v>348.8870600541477</v>
      </c>
      <c r="G87" s="95">
        <f>SUM($D272:G272)-SUM(Demand!$B21:E21)</f>
        <v>465.13613709081983</v>
      </c>
      <c r="H87" s="95">
        <f>SUM($D272:H272)-SUM(Demand!$B21:F21)</f>
        <v>581.52504307162235</v>
      </c>
      <c r="I87" s="95">
        <f>SUM($D272:I272)-SUM(Demand!$B21:G21)</f>
        <v>739.86263229141059</v>
      </c>
      <c r="J87" s="95">
        <f>SUM($D272:J272)-SUM(Demand!$B21:H21)</f>
        <v>856.25153827221311</v>
      </c>
      <c r="K87" s="95">
        <f>SUM($D272:K272)-SUM(Demand!$B21:I21)</f>
        <v>972.50061530888524</v>
      </c>
      <c r="L87" s="95">
        <f>SUM($D272:L272)-SUM(Demand!$B21:J21)</f>
        <v>962.34432685208048</v>
      </c>
      <c r="M87" s="95">
        <f>SUM($D272:M272)-SUM(Demand!$B21:K21)</f>
        <v>952.18803839527573</v>
      </c>
      <c r="N87" s="95">
        <f>SUM($D272:N272)-SUM(Demand!$B21:L21)</f>
        <v>773.39804331774758</v>
      </c>
      <c r="O87" s="95">
        <f>SUM($D272:O272)-SUM(Demand!$B21:M21)</f>
        <v>678.92490155058113</v>
      </c>
      <c r="P87" s="95">
        <f>SUM($D272:P272)-SUM(Demand!$B21:N21)</f>
        <v>584.59158872754415</v>
      </c>
      <c r="Q87" s="95">
        <f>SUM($D272:Q272)-SUM(Demand!$B21:O21)</f>
        <v>490.1184469603777</v>
      </c>
      <c r="R87" s="95">
        <f>SUM($D272:R272)-SUM(Demand!$B21:P21)</f>
        <v>437.73381737632735</v>
      </c>
      <c r="S87" s="95">
        <f>SUM($D272:S272)-SUM(Demand!$B21:Q21)</f>
        <v>-382.42247108047741</v>
      </c>
      <c r="T87" s="95">
        <f>SUM($D272:T272)-SUM(Demand!$B21:R21)</f>
        <v>-350.3504184100384</v>
      </c>
      <c r="U87" s="95">
        <f>SUM($D272:U272)-SUM(Demand!$B21:S21)</f>
        <v>-402.73504799409056</v>
      </c>
      <c r="V87" s="95">
        <f>SUM($D272:V272)-SUM(Demand!$B21:T21)</f>
        <v>-370.66299532364792</v>
      </c>
      <c r="W87" s="95">
        <f>SUM($D272:W272)-SUM(Demand!$B21:U21)</f>
        <v>-338.73077159733657</v>
      </c>
      <c r="X87" s="95">
        <f>SUM($D272:X272)-SUM(Demand!$B21:V21)</f>
        <v>-264.57020674378145</v>
      </c>
      <c r="Y87" s="95">
        <f>SUM($D272:Y272)-SUM(Demand!$B21:W21)</f>
        <v>-190.40964189022634</v>
      </c>
      <c r="Z87" s="95">
        <f>SUM($D272:Z272)-SUM(Demand!$B21:X21)</f>
        <v>-116.24907703667122</v>
      </c>
      <c r="AA87" s="95">
        <f>SUM($D272:AA272)-SUM(Demand!$B21:Y21)</f>
        <v>0</v>
      </c>
    </row>
    <row r="88" spans="1:27" x14ac:dyDescent="0.35">
      <c r="A88" s="107"/>
      <c r="B88" s="107"/>
      <c r="C88" s="79" t="s">
        <v>46</v>
      </c>
      <c r="D88" s="95">
        <f>'Stations Data'!$H$16-'Stations Data'!$J$16</f>
        <v>-9025.9859154929545</v>
      </c>
      <c r="E88" s="95">
        <f>'Stations Data'!$H$16-'Stations Data'!$J$16</f>
        <v>-9025.9859154929545</v>
      </c>
      <c r="F88" s="95">
        <f>'Stations Data'!$H$16-'Stations Data'!$J$16</f>
        <v>-9025.9859154929545</v>
      </c>
      <c r="G88" s="95">
        <f>'Stations Data'!$H$16-'Stations Data'!$J$16</f>
        <v>-9025.9859154929545</v>
      </c>
      <c r="H88" s="95">
        <f>'Stations Data'!$H$16-'Stations Data'!$J$16</f>
        <v>-9025.9859154929545</v>
      </c>
      <c r="I88" s="95">
        <f>'Stations Data'!$H$16-'Stations Data'!$J$16</f>
        <v>-9025.9859154929545</v>
      </c>
      <c r="J88" s="95">
        <f>'Stations Data'!$H$16-'Stations Data'!$J$16</f>
        <v>-9025.9859154929545</v>
      </c>
      <c r="K88" s="95">
        <f>'Stations Data'!$H$16-'Stations Data'!$J$16</f>
        <v>-9025.9859154929545</v>
      </c>
      <c r="L88" s="95">
        <f>'Stations Data'!$H$16-'Stations Data'!$J$16</f>
        <v>-9025.9859154929545</v>
      </c>
      <c r="M88" s="95">
        <f>'Stations Data'!$H$16-'Stations Data'!$J$16</f>
        <v>-9025.9859154929545</v>
      </c>
      <c r="N88" s="95">
        <f>'Stations Data'!$H$16-'Stations Data'!$J$16</f>
        <v>-9025.9859154929545</v>
      </c>
      <c r="O88" s="95">
        <f>'Stations Data'!$H$16-'Stations Data'!$J$16</f>
        <v>-9025.9859154929545</v>
      </c>
      <c r="P88" s="95">
        <f>'Stations Data'!$H$16-'Stations Data'!$J$16</f>
        <v>-9025.9859154929545</v>
      </c>
      <c r="Q88" s="95">
        <f>'Stations Data'!$H$16-'Stations Data'!$J$16</f>
        <v>-9025.9859154929545</v>
      </c>
      <c r="R88" s="95">
        <f>'Stations Data'!$H$16-'Stations Data'!$J$16</f>
        <v>-9025.9859154929545</v>
      </c>
      <c r="S88" s="95">
        <f>'Stations Data'!$H$16-'Stations Data'!$J$16</f>
        <v>-9025.9859154929545</v>
      </c>
      <c r="T88" s="95">
        <f>'Stations Data'!$H$16-'Stations Data'!$J$16</f>
        <v>-9025.9859154929545</v>
      </c>
      <c r="U88" s="95">
        <f>'Stations Data'!$H$16-'Stations Data'!$J$16</f>
        <v>-9025.9859154929545</v>
      </c>
      <c r="V88" s="95">
        <f>'Stations Data'!$H$16-'Stations Data'!$J$16</f>
        <v>-9025.9859154929545</v>
      </c>
      <c r="W88" s="95">
        <f>'Stations Data'!$H$16-'Stations Data'!$J$16</f>
        <v>-9025.9859154929545</v>
      </c>
      <c r="X88" s="95">
        <f>'Stations Data'!$H$16-'Stations Data'!$J$16</f>
        <v>-9025.9859154929545</v>
      </c>
      <c r="Y88" s="95">
        <f>'Stations Data'!$H$16-'Stations Data'!$J$16</f>
        <v>-9025.9859154929545</v>
      </c>
      <c r="Z88" s="95">
        <f>'Stations Data'!$H$16-'Stations Data'!$J$16</f>
        <v>-9025.9859154929545</v>
      </c>
      <c r="AA88" s="95">
        <f>'Stations Data'!$L$16-'Stations Data'!$J$16</f>
        <v>0</v>
      </c>
    </row>
    <row r="89" spans="1:27" x14ac:dyDescent="0.35">
      <c r="A89" s="107"/>
      <c r="B89" s="107"/>
      <c r="C89" s="79" t="s">
        <v>47</v>
      </c>
      <c r="D89" s="95">
        <f>'Stations Data'!$N$16-'Stations Data'!$J$16</f>
        <v>13699.014084507049</v>
      </c>
      <c r="E89" s="95">
        <f>'Stations Data'!$N$16-'Stations Data'!$J$16</f>
        <v>13699.014084507049</v>
      </c>
      <c r="F89" s="95">
        <f>'Stations Data'!$N$16-'Stations Data'!$J$16</f>
        <v>13699.014084507049</v>
      </c>
      <c r="G89" s="95">
        <f>'Stations Data'!$N$16-'Stations Data'!$J$16</f>
        <v>13699.014084507049</v>
      </c>
      <c r="H89" s="95">
        <f>'Stations Data'!$N$16-'Stations Data'!$J$16</f>
        <v>13699.014084507049</v>
      </c>
      <c r="I89" s="95">
        <f>'Stations Data'!$N$16-'Stations Data'!$J$16</f>
        <v>13699.014084507049</v>
      </c>
      <c r="J89" s="95">
        <f>'Stations Data'!$N$16-'Stations Data'!$J$16</f>
        <v>13699.014084507049</v>
      </c>
      <c r="K89" s="95">
        <f>'Stations Data'!$N$16-'Stations Data'!$J$16</f>
        <v>13699.014084507049</v>
      </c>
      <c r="L89" s="95">
        <f>'Stations Data'!$N$16-'Stations Data'!$J$16</f>
        <v>13699.014084507049</v>
      </c>
      <c r="M89" s="95">
        <f>'Stations Data'!$N$16-'Stations Data'!$J$16</f>
        <v>13699.014084507049</v>
      </c>
      <c r="N89" s="95">
        <f>'Stations Data'!$N$16-'Stations Data'!$J$16</f>
        <v>13699.014084507049</v>
      </c>
      <c r="O89" s="95">
        <f>'Stations Data'!$N$16-'Stations Data'!$J$16</f>
        <v>13699.014084507049</v>
      </c>
      <c r="P89" s="95">
        <f>'Stations Data'!$N$16-'Stations Data'!$J$16</f>
        <v>13699.014084507049</v>
      </c>
      <c r="Q89" s="95">
        <f>'Stations Data'!$N$16-'Stations Data'!$J$16</f>
        <v>13699.014084507049</v>
      </c>
      <c r="R89" s="95">
        <f>'Stations Data'!$N$16-'Stations Data'!$J$16</f>
        <v>13699.014084507049</v>
      </c>
      <c r="S89" s="95">
        <f>'Stations Data'!$N$16-'Stations Data'!$J$16</f>
        <v>13699.014084507049</v>
      </c>
      <c r="T89" s="95">
        <f>'Stations Data'!$N$16-'Stations Data'!$J$16</f>
        <v>13699.014084507049</v>
      </c>
      <c r="U89" s="95">
        <f>'Stations Data'!$N$16-'Stations Data'!$J$16</f>
        <v>13699.014084507049</v>
      </c>
      <c r="V89" s="95">
        <f>'Stations Data'!$N$16-'Stations Data'!$J$16</f>
        <v>13699.014084507049</v>
      </c>
      <c r="W89" s="95">
        <f>'Stations Data'!$N$16-'Stations Data'!$J$16</f>
        <v>13699.014084507049</v>
      </c>
      <c r="X89" s="95">
        <f>'Stations Data'!$N$16-'Stations Data'!$J$16</f>
        <v>13699.014084507049</v>
      </c>
      <c r="Y89" s="95">
        <f>'Stations Data'!$N$16-'Stations Data'!$J$16</f>
        <v>13699.014084507049</v>
      </c>
      <c r="Z89" s="95">
        <f>'Stations Data'!$N$16-'Stations Data'!$J$16</f>
        <v>13699.014084507049</v>
      </c>
      <c r="AA89" s="95">
        <f>'Stations Data'!$N$16-'Stations Data'!$J$16</f>
        <v>13699.014084507049</v>
      </c>
    </row>
    <row r="90" spans="1:27" x14ac:dyDescent="0.35">
      <c r="A90" s="107"/>
      <c r="B90" s="107"/>
      <c r="C90" s="80" t="s">
        <v>62</v>
      </c>
      <c r="D90" s="95">
        <f>3200-2030</f>
        <v>1170</v>
      </c>
      <c r="E90" s="95">
        <f t="shared" ref="E90:AA90" si="32">3200-2030</f>
        <v>1170</v>
      </c>
      <c r="F90" s="95">
        <f t="shared" si="32"/>
        <v>1170</v>
      </c>
      <c r="G90" s="95">
        <f t="shared" si="32"/>
        <v>1170</v>
      </c>
      <c r="H90" s="95">
        <f t="shared" si="32"/>
        <v>1170</v>
      </c>
      <c r="I90" s="95">
        <f t="shared" si="32"/>
        <v>1170</v>
      </c>
      <c r="J90" s="95">
        <f t="shared" si="32"/>
        <v>1170</v>
      </c>
      <c r="K90" s="95">
        <f t="shared" si="32"/>
        <v>1170</v>
      </c>
      <c r="L90" s="95">
        <f t="shared" si="32"/>
        <v>1170</v>
      </c>
      <c r="M90" s="95">
        <f t="shared" si="32"/>
        <v>1170</v>
      </c>
      <c r="N90" s="95">
        <f t="shared" si="32"/>
        <v>1170</v>
      </c>
      <c r="O90" s="95">
        <f t="shared" si="32"/>
        <v>1170</v>
      </c>
      <c r="P90" s="95">
        <f t="shared" si="32"/>
        <v>1170</v>
      </c>
      <c r="Q90" s="95">
        <f t="shared" si="32"/>
        <v>1170</v>
      </c>
      <c r="R90" s="95">
        <f t="shared" si="32"/>
        <v>1170</v>
      </c>
      <c r="S90" s="95">
        <f t="shared" si="32"/>
        <v>1170</v>
      </c>
      <c r="T90" s="95">
        <f t="shared" si="32"/>
        <v>1170</v>
      </c>
      <c r="U90" s="95">
        <f t="shared" si="32"/>
        <v>1170</v>
      </c>
      <c r="V90" s="95">
        <f t="shared" si="32"/>
        <v>1170</v>
      </c>
      <c r="W90" s="95">
        <f t="shared" si="32"/>
        <v>1170</v>
      </c>
      <c r="X90" s="95">
        <f t="shared" si="32"/>
        <v>1170</v>
      </c>
      <c r="Y90" s="95">
        <f t="shared" si="32"/>
        <v>1170</v>
      </c>
      <c r="Z90" s="95">
        <f t="shared" si="32"/>
        <v>1170</v>
      </c>
      <c r="AA90" s="95">
        <f t="shared" si="32"/>
        <v>1170</v>
      </c>
    </row>
    <row r="91" spans="1:27" x14ac:dyDescent="0.35">
      <c r="A91" s="107"/>
      <c r="B91" s="107"/>
      <c r="C91" s="82" t="s">
        <v>61</v>
      </c>
      <c r="D91" s="93">
        <f t="shared" ref="D91:U91" si="33">D272</f>
        <v>1170</v>
      </c>
      <c r="E91" s="93">
        <f t="shared" si="33"/>
        <v>1170</v>
      </c>
      <c r="F91" s="93">
        <f t="shared" si="33"/>
        <v>1170</v>
      </c>
      <c r="G91" s="93">
        <f t="shared" si="33"/>
        <v>1170</v>
      </c>
      <c r="H91" s="93">
        <f t="shared" si="33"/>
        <v>1170</v>
      </c>
      <c r="I91" s="93">
        <f t="shared" si="33"/>
        <v>1170</v>
      </c>
      <c r="J91" s="93">
        <f t="shared" si="33"/>
        <v>1170</v>
      </c>
      <c r="K91" s="93">
        <f t="shared" si="33"/>
        <v>1170</v>
      </c>
      <c r="L91" s="93">
        <f t="shared" si="33"/>
        <v>1170</v>
      </c>
      <c r="M91" s="93">
        <f t="shared" si="33"/>
        <v>1170</v>
      </c>
      <c r="N91" s="93">
        <f t="shared" si="33"/>
        <v>1170</v>
      </c>
      <c r="O91" s="93">
        <f t="shared" si="33"/>
        <v>1170</v>
      </c>
      <c r="P91" s="93">
        <f t="shared" si="33"/>
        <v>1170</v>
      </c>
      <c r="Q91" s="93">
        <f t="shared" si="33"/>
        <v>1170</v>
      </c>
      <c r="R91" s="93">
        <f t="shared" si="33"/>
        <v>1170</v>
      </c>
      <c r="S91" s="93">
        <f t="shared" si="33"/>
        <v>360</v>
      </c>
      <c r="T91" s="93">
        <f t="shared" si="33"/>
        <v>1170</v>
      </c>
      <c r="U91" s="93">
        <f t="shared" si="33"/>
        <v>1170</v>
      </c>
      <c r="V91" s="93">
        <f t="shared" ref="V91:AA91" si="34">V272</f>
        <v>1170</v>
      </c>
      <c r="W91" s="93">
        <f t="shared" si="34"/>
        <v>1170</v>
      </c>
      <c r="X91" s="93">
        <f t="shared" si="34"/>
        <v>1170</v>
      </c>
      <c r="Y91" s="93">
        <f t="shared" si="34"/>
        <v>1170</v>
      </c>
      <c r="Z91" s="93">
        <f t="shared" si="34"/>
        <v>1170</v>
      </c>
      <c r="AA91" s="93">
        <f t="shared" si="34"/>
        <v>1170</v>
      </c>
    </row>
    <row r="92" spans="1:27" x14ac:dyDescent="0.35">
      <c r="A92" s="107"/>
      <c r="B92" s="107"/>
      <c r="C92" s="80" t="s">
        <v>48</v>
      </c>
      <c r="D92" s="95">
        <f>'Stations Data'!$J$16+SUM($D272:D272)-SUM(Demand!$B21:B21)</f>
        <v>27386.388905980803</v>
      </c>
      <c r="E92" s="95">
        <f>'Stations Data'!$J$16+SUM($D272:E272)-SUM(Demand!$B21:C21)</f>
        <v>27502.637983017474</v>
      </c>
      <c r="F92" s="95">
        <f>'Stations Data'!$J$16+SUM($D272:F272)-SUM(Demand!$B21:D21)</f>
        <v>27618.887060054149</v>
      </c>
      <c r="G92" s="95">
        <f>'Stations Data'!$J$16+SUM($D272:G272)-SUM(Demand!$B21:E21)</f>
        <v>27735.13613709082</v>
      </c>
      <c r="H92" s="95">
        <f>'Stations Data'!$J$16+SUM($D272:H272)-SUM(Demand!$B21:F21)</f>
        <v>27851.525043071622</v>
      </c>
      <c r="I92" s="95">
        <f>'Stations Data'!$J$16+SUM($D272:I272)-SUM(Demand!$B21:G21)</f>
        <v>28009.86263229141</v>
      </c>
      <c r="J92" s="95">
        <f>'Stations Data'!$J$16+SUM($D272:J272)-SUM(Demand!$B21:H21)</f>
        <v>28126.251538272212</v>
      </c>
      <c r="K92" s="95">
        <f>'Stations Data'!$J$16+SUM($D272:K272)-SUM(Demand!$B21:I21)</f>
        <v>28242.500615308883</v>
      </c>
      <c r="L92" s="95">
        <f>'Stations Data'!$J$16+SUM($D272:L272)-SUM(Demand!$B21:J21)</f>
        <v>28232.344326852079</v>
      </c>
      <c r="M92" s="95">
        <f>'Stations Data'!$J$16+SUM($D272:M272)-SUM(Demand!$B21:K21)</f>
        <v>28222.188038395274</v>
      </c>
      <c r="N92" s="95">
        <f>'Stations Data'!$J$16+SUM($D272:N272)-SUM(Demand!$B21:L21)</f>
        <v>28043.398043317749</v>
      </c>
      <c r="O92" s="95">
        <f>'Stations Data'!$J$16+SUM($D272:O272)-SUM(Demand!$B21:M21)</f>
        <v>27948.924901550581</v>
      </c>
      <c r="P92" s="95">
        <f>'Stations Data'!$J$16+SUM($D272:P272)-SUM(Demand!$B21:N21)</f>
        <v>27854.591588727544</v>
      </c>
      <c r="Q92" s="95">
        <f>'Stations Data'!$J$16+SUM($D272:Q272)-SUM(Demand!$B21:O21)</f>
        <v>27760.118446960376</v>
      </c>
      <c r="R92" s="95">
        <f>'Stations Data'!$J$16+SUM($D272:R272)-SUM(Demand!$B21:P21)</f>
        <v>27707.733817376327</v>
      </c>
      <c r="S92" s="95">
        <f>'Stations Data'!$J$16+SUM($D272:S272)-SUM(Demand!$B21:Q21)</f>
        <v>26887.577528919523</v>
      </c>
      <c r="T92" s="95">
        <f>'Stations Data'!$J$16+SUM($D272:T272)-SUM(Demand!$B21:R21)</f>
        <v>26919.649581589962</v>
      </c>
      <c r="U92" s="95">
        <f>'Stations Data'!$J$16+SUM($D272:U272)-SUM(Demand!$B21:S21)</f>
        <v>26867.264952005909</v>
      </c>
      <c r="V92" s="95">
        <f>'Stations Data'!$J$16+SUM($D272:V272)-SUM(Demand!$B21:T21)</f>
        <v>26899.337004676352</v>
      </c>
      <c r="W92" s="95">
        <f>'Stations Data'!$J$16+SUM($D272:W272)-SUM(Demand!$B21:U21)</f>
        <v>26931.269228402663</v>
      </c>
      <c r="X92" s="95">
        <f>'Stations Data'!$J$16+SUM($D272:X272)-SUM(Demand!$B21:V21)</f>
        <v>27005.429793256219</v>
      </c>
      <c r="Y92" s="95">
        <f>'Stations Data'!$J$16+SUM($D272:Y272)-SUM(Demand!$B21:W21)</f>
        <v>27079.590358109774</v>
      </c>
      <c r="Z92" s="95">
        <f>'Stations Data'!$J$16+SUM($D272:Z272)-SUM(Demand!$B21:X21)</f>
        <v>27153.750922963329</v>
      </c>
      <c r="AA92" s="95">
        <f>'Stations Data'!$J$16+SUM($D272:AA272)-SUM(Demand!$B21:Y21)</f>
        <v>27270</v>
      </c>
    </row>
    <row r="93" spans="1:27" x14ac:dyDescent="0.35">
      <c r="A93" s="107" t="s">
        <v>183</v>
      </c>
      <c r="B93" s="107"/>
      <c r="C93" s="79" t="s">
        <v>45</v>
      </c>
      <c r="D93" s="95">
        <f>SUM($D274:D274)-SUM(Demand!$B22:$B23:'Demand'!B22:B23)</f>
        <v>1270.7667555875141</v>
      </c>
      <c r="E93" s="95">
        <f>SUM($D274:E274)-SUM(Demand!$B22:$B23:'Demand'!C22:C23)</f>
        <v>2520.3648153523063</v>
      </c>
      <c r="F93" s="95">
        <f>SUM($D274:F274)-SUM(Demand!$B22:$B23:'Demand'!D22:D23)</f>
        <v>2473.7338918262158</v>
      </c>
      <c r="G93" s="95">
        <f>SUM($D274:G274)-SUM(Demand!$B22:$B23:'Demand'!E22:E23)</f>
        <v>2416.7375394960691</v>
      </c>
      <c r="H93" s="95">
        <f>SUM($D274:H274)-SUM(Demand!$B22:$B23:'Demand'!F22:F23)</f>
        <v>2349.3757583618681</v>
      </c>
      <c r="I93" s="95">
        <f>SUM($D274:I274)-SUM(Demand!$B22:$B23:'Demand'!G22:G23)</f>
        <v>2281.5761390130574</v>
      </c>
      <c r="J93" s="95">
        <f>SUM($D274:J274)-SUM(Demand!$B22:$B23:'Demand'!H22:H23)</f>
        <v>2224.5797866829089</v>
      </c>
      <c r="K93" s="95">
        <f>SUM($D274:K274)-SUM(Demand!$B22:$B23:'Demand'!I22:I23)</f>
        <v>2209.9208259982042</v>
      </c>
      <c r="L93" s="95">
        <f>SUM($D274:L274)-SUM(Demand!$B22:$B23:'Demand'!J22:J23)</f>
        <v>2290.3020774084434</v>
      </c>
      <c r="M93" s="95">
        <f>SUM($D274:M274)-SUM(Demand!$B22:$B23:'Demand'!K22:K23)</f>
        <v>2381.0487576227388</v>
      </c>
      <c r="N93" s="95">
        <f>SUM($D274:N274)-SUM(Demand!$B22:$B23:'Demand'!L22:L23)</f>
        <v>2482.5987048556926</v>
      </c>
      <c r="O93" s="95">
        <f>SUM($D274:O274)-SUM(Demand!$B22:$B23:'Demand'!M22:M23)</f>
        <v>2594.5140808927099</v>
      </c>
      <c r="P93" s="95">
        <f>SUM($D274:P274)-SUM(Demand!$B22:$B23:'Demand'!N22:N23)</f>
        <v>2717.2327239483857</v>
      </c>
      <c r="Q93" s="95">
        <f>SUM($D274:Q274)-SUM(Demand!$B22:$B23:'Demand'!O22:O23)</f>
        <v>2776.4452795359102</v>
      </c>
      <c r="R93" s="95">
        <f>SUM($D274:R274)-SUM(Demand!$B22:$B23:'Demand'!P22:P23)</f>
        <v>2814.4891393006983</v>
      </c>
      <c r="S93" s="95">
        <f>SUM($D274:S274)-SUM(Demand!$B22:$B23:'Demand'!Q22:Q23)</f>
        <v>2820.9988744387083</v>
      </c>
      <c r="T93" s="95">
        <f>SUM($D274:T274)-SUM(Demand!$B22:$B23:'Demand'!R22:R23)</f>
        <v>2837.8740383807744</v>
      </c>
      <c r="U93" s="95">
        <f>SUM($D274:U274)-SUM(Demand!$B22:$B23:'Demand'!S22:S23)</f>
        <v>377.10666934150504</v>
      </c>
      <c r="V93" s="95">
        <f>SUM($D274:V274)-SUM(Demand!$B22:$B23:'Demand'!T22:T23)</f>
        <v>-2063.0645379123744</v>
      </c>
      <c r="W93" s="95">
        <f>SUM($D274:W274)-SUM(Demand!$B22:$B23:'Demand'!U22:U23)</f>
        <v>-4545.0006027743511</v>
      </c>
      <c r="X93" s="95">
        <f>SUM($D274:X274)-SUM(Demand!$B22:$B23:'Demand'!V22:V23)</f>
        <v>-3369.0045676363225</v>
      </c>
      <c r="Y93" s="95">
        <f>SUM($D274:Y274)-SUM(Demand!$B22:$B23:'Demand'!W22:W23)</f>
        <v>-2224.9804953396961</v>
      </c>
      <c r="Z93" s="95">
        <f>SUM($D274:Z274)-SUM(Demand!$B22:$B23:'Demand'!X22:X23)</f>
        <v>-1112.4905476698332</v>
      </c>
      <c r="AA93" s="95">
        <f>SUM($D274:AA274)-SUM(Demand!$B22:$B23:'Demand'!Y22:Y23)</f>
        <v>-5.9999995573889464E-4</v>
      </c>
    </row>
    <row r="94" spans="1:27" x14ac:dyDescent="0.35">
      <c r="A94" s="107"/>
      <c r="B94" s="107"/>
      <c r="C94" s="79" t="s">
        <v>46</v>
      </c>
      <c r="D94" s="95">
        <f>'Stations Data'!$H$17-'Stations Data'!$J$17</f>
        <v>-4545</v>
      </c>
      <c r="E94" s="95">
        <f>'Stations Data'!$H$17-'Stations Data'!$J$17</f>
        <v>-4545</v>
      </c>
      <c r="F94" s="95">
        <f>'Stations Data'!$H$17-'Stations Data'!$J$17</f>
        <v>-4545</v>
      </c>
      <c r="G94" s="95">
        <f>'Stations Data'!$H$17-'Stations Data'!$J$17</f>
        <v>-4545</v>
      </c>
      <c r="H94" s="95">
        <f>'Stations Data'!$H$17-'Stations Data'!$J$17</f>
        <v>-4545</v>
      </c>
      <c r="I94" s="95">
        <f>'Stations Data'!$H$17-'Stations Data'!$J$17</f>
        <v>-4545</v>
      </c>
      <c r="J94" s="95">
        <f>'Stations Data'!$H$17-'Stations Data'!$J$17</f>
        <v>-4545</v>
      </c>
      <c r="K94" s="95">
        <f>'Stations Data'!$H$17-'Stations Data'!$J$17</f>
        <v>-4545</v>
      </c>
      <c r="L94" s="95">
        <f>'Stations Data'!$H$17-'Stations Data'!$J$17</f>
        <v>-4545</v>
      </c>
      <c r="M94" s="95">
        <f>'Stations Data'!$H$17-'Stations Data'!$J$17</f>
        <v>-4545</v>
      </c>
      <c r="N94" s="95">
        <f>'Stations Data'!$H$17-'Stations Data'!$J$17</f>
        <v>-4545</v>
      </c>
      <c r="O94" s="95">
        <f>'Stations Data'!$H$17-'Stations Data'!$J$17</f>
        <v>-4545</v>
      </c>
      <c r="P94" s="95">
        <f>'Stations Data'!$H$17-'Stations Data'!$J$17</f>
        <v>-4545</v>
      </c>
      <c r="Q94" s="95">
        <f>'Stations Data'!$H$17-'Stations Data'!$J$17</f>
        <v>-4545</v>
      </c>
      <c r="R94" s="95">
        <f>'Stations Data'!$H$17-'Stations Data'!$J$17</f>
        <v>-4545</v>
      </c>
      <c r="S94" s="95">
        <f>'Stations Data'!$H$17-'Stations Data'!$J$17</f>
        <v>-4545</v>
      </c>
      <c r="T94" s="95">
        <f>'Stations Data'!$H$17-'Stations Data'!$J$17</f>
        <v>-4545</v>
      </c>
      <c r="U94" s="95">
        <f>'Stations Data'!$H$17-'Stations Data'!$J$17</f>
        <v>-4545</v>
      </c>
      <c r="V94" s="95">
        <f>'Stations Data'!$H$17-'Stations Data'!$J$17</f>
        <v>-4545</v>
      </c>
      <c r="W94" s="95">
        <f>'Stations Data'!$H$17-'Stations Data'!$J$17</f>
        <v>-4545</v>
      </c>
      <c r="X94" s="95">
        <f>'Stations Data'!$H$17-'Stations Data'!$J$17</f>
        <v>-4545</v>
      </c>
      <c r="Y94" s="95">
        <f>'Stations Data'!$H$17-'Stations Data'!$J$17</f>
        <v>-4545</v>
      </c>
      <c r="Z94" s="95">
        <f>'Stations Data'!$H$17-'Stations Data'!$J$17</f>
        <v>-4545</v>
      </c>
      <c r="AA94" s="95">
        <f>'Stations Data'!$L$17-'Stations Data'!$J$17</f>
        <v>0</v>
      </c>
    </row>
    <row r="95" spans="1:27" x14ac:dyDescent="0.35">
      <c r="A95" s="107"/>
      <c r="B95" s="107"/>
      <c r="C95" s="79" t="s">
        <v>47</v>
      </c>
      <c r="D95" s="95">
        <f>'Stations Data'!$N$17-'Stations Data'!$J$17</f>
        <v>6817.5</v>
      </c>
      <c r="E95" s="95">
        <f>'Stations Data'!$N$17-'Stations Data'!$J$17</f>
        <v>6817.5</v>
      </c>
      <c r="F95" s="95">
        <f>'Stations Data'!$N$17-'Stations Data'!$J$17</f>
        <v>6817.5</v>
      </c>
      <c r="G95" s="95">
        <f>'Stations Data'!$N$17-'Stations Data'!$J$17</f>
        <v>6817.5</v>
      </c>
      <c r="H95" s="95">
        <f>'Stations Data'!$N$17-'Stations Data'!$J$17</f>
        <v>6817.5</v>
      </c>
      <c r="I95" s="95">
        <f>'Stations Data'!$N$17-'Stations Data'!$J$17</f>
        <v>6817.5</v>
      </c>
      <c r="J95" s="95">
        <f>'Stations Data'!$N$17-'Stations Data'!$J$17</f>
        <v>6817.5</v>
      </c>
      <c r="K95" s="95">
        <f>'Stations Data'!$N$17-'Stations Data'!$J$17</f>
        <v>6817.5</v>
      </c>
      <c r="L95" s="95">
        <f>'Stations Data'!$N$17-'Stations Data'!$J$17</f>
        <v>6817.5</v>
      </c>
      <c r="M95" s="95">
        <f>'Stations Data'!$N$17-'Stations Data'!$J$17</f>
        <v>6817.5</v>
      </c>
      <c r="N95" s="95">
        <f>'Stations Data'!$N$17-'Stations Data'!$J$17</f>
        <v>6817.5</v>
      </c>
      <c r="O95" s="95">
        <f>'Stations Data'!$N$17-'Stations Data'!$J$17</f>
        <v>6817.5</v>
      </c>
      <c r="P95" s="95">
        <f>'Stations Data'!$N$17-'Stations Data'!$J$17</f>
        <v>6817.5</v>
      </c>
      <c r="Q95" s="95">
        <f>'Stations Data'!$N$17-'Stations Data'!$J$17</f>
        <v>6817.5</v>
      </c>
      <c r="R95" s="95">
        <f>'Stations Data'!$N$17-'Stations Data'!$J$17</f>
        <v>6817.5</v>
      </c>
      <c r="S95" s="95">
        <f>'Stations Data'!$N$17-'Stations Data'!$J$17</f>
        <v>6817.5</v>
      </c>
      <c r="T95" s="95">
        <f>'Stations Data'!$N$17-'Stations Data'!$J$17</f>
        <v>6817.5</v>
      </c>
      <c r="U95" s="95">
        <f>'Stations Data'!$N$17-'Stations Data'!$J$17</f>
        <v>6817.5</v>
      </c>
      <c r="V95" s="95">
        <f>'Stations Data'!$N$17-'Stations Data'!$J$17</f>
        <v>6817.5</v>
      </c>
      <c r="W95" s="95">
        <f>'Stations Data'!$N$17-'Stations Data'!$J$17</f>
        <v>6817.5</v>
      </c>
      <c r="X95" s="95">
        <f>'Stations Data'!$N$17-'Stations Data'!$J$17</f>
        <v>6817.5</v>
      </c>
      <c r="Y95" s="95">
        <f>'Stations Data'!$N$17-'Stations Data'!$J$17</f>
        <v>6817.5</v>
      </c>
      <c r="Z95" s="95">
        <f>'Stations Data'!$N$17-'Stations Data'!$J$17</f>
        <v>6817.5</v>
      </c>
      <c r="AA95" s="95">
        <f>'Stations Data'!$N$17-'Stations Data'!$J$17</f>
        <v>6817.5</v>
      </c>
    </row>
    <row r="96" spans="1:27" x14ac:dyDescent="0.35">
      <c r="A96" s="107"/>
      <c r="B96" s="107"/>
      <c r="C96" s="80" t="s">
        <v>50</v>
      </c>
      <c r="E96" s="93">
        <f t="shared" ref="E96:V96" si="35">D274-E274</f>
        <v>0</v>
      </c>
      <c r="F96" s="93">
        <f t="shared" si="35"/>
        <v>1211.5541999999996</v>
      </c>
      <c r="G96" s="93">
        <f t="shared" si="35"/>
        <v>0</v>
      </c>
      <c r="H96" s="93">
        <f t="shared" si="35"/>
        <v>0</v>
      </c>
      <c r="I96" s="93">
        <f t="shared" si="35"/>
        <v>0</v>
      </c>
      <c r="J96" s="93">
        <f t="shared" si="35"/>
        <v>0</v>
      </c>
      <c r="K96" s="93">
        <f t="shared" si="35"/>
        <v>0</v>
      </c>
      <c r="L96" s="93">
        <f t="shared" si="35"/>
        <v>0</v>
      </c>
      <c r="M96" s="93">
        <f t="shared" si="35"/>
        <v>0</v>
      </c>
      <c r="N96" s="93">
        <f t="shared" si="35"/>
        <v>0</v>
      </c>
      <c r="O96" s="93">
        <f t="shared" si="35"/>
        <v>0</v>
      </c>
      <c r="P96" s="93">
        <f t="shared" si="35"/>
        <v>0</v>
      </c>
      <c r="Q96" s="93">
        <f t="shared" si="35"/>
        <v>0</v>
      </c>
      <c r="R96" s="93">
        <f t="shared" si="35"/>
        <v>0</v>
      </c>
      <c r="S96" s="93">
        <f t="shared" si="35"/>
        <v>0</v>
      </c>
      <c r="T96" s="93">
        <f t="shared" si="35"/>
        <v>0</v>
      </c>
      <c r="U96" s="93">
        <f t="shared" si="35"/>
        <v>2488.4458000000004</v>
      </c>
      <c r="V96" s="93">
        <f t="shared" si="35"/>
        <v>-21.034000000000106</v>
      </c>
      <c r="W96" s="93">
        <f>V274-W274</f>
        <v>21.034000000000106</v>
      </c>
      <c r="X96" s="93">
        <f>W274-X274</f>
        <v>-3657.9321</v>
      </c>
      <c r="Y96" s="93">
        <f>X274-Y274</f>
        <v>0</v>
      </c>
      <c r="Z96" s="93">
        <f>Y274-Z274</f>
        <v>0</v>
      </c>
      <c r="AA96" s="93">
        <f>Z274-AA274</f>
        <v>0</v>
      </c>
    </row>
    <row r="97" spans="1:27" x14ac:dyDescent="0.35">
      <c r="A97" s="107"/>
      <c r="B97" s="107"/>
      <c r="C97" s="80" t="s">
        <v>51</v>
      </c>
      <c r="E97" s="93">
        <f t="shared" ref="E97:V97" si="36">-(D274-E274)</f>
        <v>0</v>
      </c>
      <c r="F97" s="93">
        <f t="shared" si="36"/>
        <v>-1211.5541999999996</v>
      </c>
      <c r="G97" s="93">
        <f t="shared" si="36"/>
        <v>0</v>
      </c>
      <c r="H97" s="93">
        <f t="shared" si="36"/>
        <v>0</v>
      </c>
      <c r="I97" s="93">
        <f t="shared" si="36"/>
        <v>0</v>
      </c>
      <c r="J97" s="93">
        <f t="shared" si="36"/>
        <v>0</v>
      </c>
      <c r="K97" s="93">
        <f t="shared" si="36"/>
        <v>0</v>
      </c>
      <c r="L97" s="93">
        <f t="shared" si="36"/>
        <v>0</v>
      </c>
      <c r="M97" s="93">
        <f t="shared" si="36"/>
        <v>0</v>
      </c>
      <c r="N97" s="93">
        <f t="shared" si="36"/>
        <v>0</v>
      </c>
      <c r="O97" s="93">
        <f t="shared" si="36"/>
        <v>0</v>
      </c>
      <c r="P97" s="93">
        <f t="shared" si="36"/>
        <v>0</v>
      </c>
      <c r="Q97" s="93">
        <f t="shared" si="36"/>
        <v>0</v>
      </c>
      <c r="R97" s="93">
        <f t="shared" si="36"/>
        <v>0</v>
      </c>
      <c r="S97" s="93">
        <f t="shared" si="36"/>
        <v>0</v>
      </c>
      <c r="T97" s="93">
        <f t="shared" si="36"/>
        <v>0</v>
      </c>
      <c r="U97" s="93">
        <f t="shared" si="36"/>
        <v>-2488.4458000000004</v>
      </c>
      <c r="V97" s="93">
        <f t="shared" si="36"/>
        <v>21.034000000000106</v>
      </c>
      <c r="W97" s="93">
        <f>-(V274-W274)</f>
        <v>-21.034000000000106</v>
      </c>
      <c r="X97" s="93">
        <f>-(W274-X274)</f>
        <v>3657.9321</v>
      </c>
      <c r="Y97" s="93">
        <f>-(X274-Y274)</f>
        <v>0</v>
      </c>
      <c r="Z97" s="93">
        <f>-(Y274-Z274)</f>
        <v>0</v>
      </c>
      <c r="AA97" s="93">
        <f>-(Z274-AA274)</f>
        <v>0</v>
      </c>
    </row>
    <row r="98" spans="1:27" x14ac:dyDescent="0.35">
      <c r="A98" s="107"/>
      <c r="B98" s="107"/>
      <c r="C98" s="80" t="s">
        <v>52</v>
      </c>
      <c r="D98" s="93">
        <v>7400</v>
      </c>
      <c r="G98" s="93" t="s">
        <v>44</v>
      </c>
      <c r="I98" s="93">
        <f>SUM(E273:AA273)</f>
        <v>7400</v>
      </c>
    </row>
    <row r="99" spans="1:27" x14ac:dyDescent="0.35">
      <c r="A99" s="107"/>
      <c r="B99" s="107"/>
      <c r="C99" s="80" t="s">
        <v>57</v>
      </c>
      <c r="D99" s="95">
        <v>6000</v>
      </c>
      <c r="E99" s="95">
        <v>6000</v>
      </c>
      <c r="F99" s="95">
        <v>6000</v>
      </c>
      <c r="G99" s="95">
        <v>6000</v>
      </c>
      <c r="H99" s="95">
        <v>6000</v>
      </c>
      <c r="I99" s="95">
        <v>6000</v>
      </c>
      <c r="J99" s="95">
        <v>6000</v>
      </c>
      <c r="K99" s="95">
        <v>6000</v>
      </c>
      <c r="L99" s="95">
        <v>6000</v>
      </c>
      <c r="M99" s="95">
        <v>6000</v>
      </c>
      <c r="N99" s="95">
        <v>6000</v>
      </c>
      <c r="O99" s="95">
        <v>6000</v>
      </c>
      <c r="P99" s="95">
        <v>6000</v>
      </c>
      <c r="Q99" s="95">
        <v>6000</v>
      </c>
      <c r="R99" s="95">
        <v>6000</v>
      </c>
      <c r="S99" s="95">
        <v>6000</v>
      </c>
      <c r="T99" s="95">
        <v>6000</v>
      </c>
      <c r="U99" s="95">
        <v>6000</v>
      </c>
      <c r="V99" s="95">
        <v>6000</v>
      </c>
      <c r="W99" s="95">
        <v>6000</v>
      </c>
      <c r="X99" s="95">
        <v>6000</v>
      </c>
      <c r="Y99" s="95">
        <v>6000</v>
      </c>
      <c r="Z99" s="95">
        <v>6000</v>
      </c>
      <c r="AA99" s="95">
        <v>6000</v>
      </c>
    </row>
    <row r="100" spans="1:27" x14ac:dyDescent="0.35">
      <c r="A100" s="107"/>
      <c r="B100" s="107"/>
      <c r="C100" s="83" t="s">
        <v>61</v>
      </c>
      <c r="D100" s="93">
        <f t="shared" ref="D100:U100" si="37">D274</f>
        <v>6000</v>
      </c>
      <c r="E100" s="93">
        <f t="shared" si="37"/>
        <v>6000</v>
      </c>
      <c r="F100" s="93">
        <f t="shared" si="37"/>
        <v>4788.4458000000004</v>
      </c>
      <c r="G100" s="93">
        <f t="shared" si="37"/>
        <v>4788.4458000000004</v>
      </c>
      <c r="H100" s="93">
        <f t="shared" si="37"/>
        <v>4788.4458000000004</v>
      </c>
      <c r="I100" s="93">
        <f t="shared" si="37"/>
        <v>4788.4458000000004</v>
      </c>
      <c r="J100" s="93">
        <f t="shared" si="37"/>
        <v>4788.4458000000004</v>
      </c>
      <c r="K100" s="93">
        <f t="shared" si="37"/>
        <v>4788.4458000000004</v>
      </c>
      <c r="L100" s="93">
        <f t="shared" si="37"/>
        <v>4788.4458000000004</v>
      </c>
      <c r="M100" s="93">
        <f t="shared" si="37"/>
        <v>4788.4458000000004</v>
      </c>
      <c r="N100" s="93">
        <f t="shared" si="37"/>
        <v>4788.4458000000004</v>
      </c>
      <c r="O100" s="93">
        <f t="shared" si="37"/>
        <v>4788.4458000000004</v>
      </c>
      <c r="P100" s="93">
        <f t="shared" si="37"/>
        <v>4788.4458000000004</v>
      </c>
      <c r="Q100" s="93">
        <f t="shared" si="37"/>
        <v>4788.4458000000004</v>
      </c>
      <c r="R100" s="93">
        <f t="shared" si="37"/>
        <v>4788.4458000000004</v>
      </c>
      <c r="S100" s="93">
        <f t="shared" si="37"/>
        <v>4788.4458000000004</v>
      </c>
      <c r="T100" s="93">
        <f t="shared" si="37"/>
        <v>4788.4458000000004</v>
      </c>
      <c r="U100" s="93">
        <f t="shared" si="37"/>
        <v>2300</v>
      </c>
      <c r="V100" s="93">
        <f t="shared" ref="V100:AA100" si="38">V274</f>
        <v>2321.0340000000001</v>
      </c>
      <c r="W100" s="93">
        <f t="shared" si="38"/>
        <v>2300</v>
      </c>
      <c r="X100" s="93">
        <f t="shared" si="38"/>
        <v>5957.9321</v>
      </c>
      <c r="Y100" s="93">
        <f t="shared" si="38"/>
        <v>5957.9321</v>
      </c>
      <c r="Z100" s="93">
        <f t="shared" si="38"/>
        <v>5957.9321</v>
      </c>
      <c r="AA100" s="93">
        <f t="shared" si="38"/>
        <v>5957.9321</v>
      </c>
    </row>
    <row r="101" spans="1:27" x14ac:dyDescent="0.35">
      <c r="A101" s="107"/>
      <c r="B101" s="107"/>
      <c r="C101" s="80" t="s">
        <v>48</v>
      </c>
      <c r="D101" s="95">
        <f>'Stations Data'!$J$17+SUM($D274:D274)-SUM(Demand!$B22:$B23:'Demand'!B22:B23)</f>
        <v>14905.766755587514</v>
      </c>
      <c r="E101" s="95">
        <f>'Stations Data'!$J$17+SUM($D274:E274)-SUM(Demand!$B22:$B23:'Demand'!C22:C23)</f>
        <v>16155.364815352306</v>
      </c>
      <c r="F101" s="95">
        <f>'Stations Data'!$J$17+SUM($D274:F274)-SUM(Demand!$B22:$B23:'Demand'!D22:D23)</f>
        <v>16108.733891826216</v>
      </c>
      <c r="G101" s="95">
        <f>'Stations Data'!$J$17+SUM($D274:G274)-SUM(Demand!$B22:$B23:'Demand'!E22:E23)</f>
        <v>16051.737539496069</v>
      </c>
      <c r="H101" s="95">
        <f>'Stations Data'!$J$17+SUM($D274:H274)-SUM(Demand!$B22:$B23:'Demand'!F22:F23)</f>
        <v>15984.375758361868</v>
      </c>
      <c r="I101" s="95">
        <f>'Stations Data'!$J$17+SUM($D274:I274)-SUM(Demand!$B22:$B23:'Demand'!G22:G23)</f>
        <v>15916.576139013057</v>
      </c>
      <c r="J101" s="95">
        <f>'Stations Data'!$J$17+SUM($D274:J274)-SUM(Demand!$B22:$B23:'Demand'!H22:H23)</f>
        <v>15859.579786682909</v>
      </c>
      <c r="K101" s="95">
        <f>'Stations Data'!$J$17+SUM($D274:K274)-SUM(Demand!$B22:$B23:'Demand'!I22:I23)</f>
        <v>15844.920825998204</v>
      </c>
      <c r="L101" s="95">
        <f>'Stations Data'!$J$17+SUM($D274:L274)-SUM(Demand!$B22:$B23:'Demand'!J22:J23)</f>
        <v>15925.302077408443</v>
      </c>
      <c r="M101" s="95">
        <f>'Stations Data'!$J$17+SUM($D274:M274)-SUM(Demand!$B22:$B23:'Demand'!K22:K23)</f>
        <v>16016.048757622739</v>
      </c>
      <c r="N101" s="95">
        <f>'Stations Data'!$J$17+SUM($D274:N274)-SUM(Demand!$B22:$B23:'Demand'!L22:L23)</f>
        <v>16117.598704855693</v>
      </c>
      <c r="O101" s="95">
        <f>'Stations Data'!$J$17+SUM($D274:O274)-SUM(Demand!$B22:$B23:'Demand'!M22:M23)</f>
        <v>16229.51408089271</v>
      </c>
      <c r="P101" s="95">
        <f>'Stations Data'!$J$17+SUM($D274:P274)-SUM(Demand!$B22:$B23:'Demand'!N22:N23)</f>
        <v>16352.232723948386</v>
      </c>
      <c r="Q101" s="95">
        <f>'Stations Data'!$J$17+SUM($D274:Q274)-SUM(Demand!$B22:$B23:'Demand'!O22:O23)</f>
        <v>16411.44527953591</v>
      </c>
      <c r="R101" s="95">
        <f>'Stations Data'!$J$17+SUM($D274:R274)-SUM(Demand!$B22:$B23:'Demand'!P22:P23)</f>
        <v>16449.489139300698</v>
      </c>
      <c r="S101" s="95">
        <f>'Stations Data'!$J$17+SUM($D274:S274)-SUM(Demand!$B22:$B23:'Demand'!Q22:Q23)</f>
        <v>16455.998874438708</v>
      </c>
      <c r="T101" s="95">
        <f>'Stations Data'!$J$17+SUM($D274:T274)-SUM(Demand!$B22:$B23:'Demand'!R22:R23)</f>
        <v>16472.874038380774</v>
      </c>
      <c r="U101" s="95">
        <f>'Stations Data'!$J$17+SUM($D274:U274)-SUM(Demand!$B22:$B23:'Demand'!S22:S23)</f>
        <v>14012.106669341505</v>
      </c>
      <c r="V101" s="95">
        <f>'Stations Data'!$J$17+SUM($D274:V274)-SUM(Demand!$B22:$B23:'Demand'!T22:T23)</f>
        <v>11571.935462087626</v>
      </c>
      <c r="W101" s="95">
        <f>'Stations Data'!$J$17+SUM($D274:W274)-SUM(Demand!$B22:$B23:'Demand'!U22:U23)</f>
        <v>9089.9993972256489</v>
      </c>
      <c r="X101" s="95">
        <f>'Stations Data'!$J$17+SUM($D274:X274)-SUM(Demand!$B22:$B23:'Demand'!V22:V23)</f>
        <v>10265.995432363678</v>
      </c>
      <c r="Y101" s="95">
        <f>'Stations Data'!$J$17+SUM($D274:Y274)-SUM(Demand!$B22:$B23:'Demand'!W22:W23)</f>
        <v>11410.019504660304</v>
      </c>
      <c r="Z101" s="95">
        <f>'Stations Data'!$J$17+SUM($D274:Z274)-SUM(Demand!$B22:$B23:'Demand'!X22:X23)</f>
        <v>12522.509452330167</v>
      </c>
      <c r="AA101" s="95">
        <f>'Stations Data'!$J$17+SUM($D274:AA274)-SUM(Demand!$B22:$B23:'Demand'!Y22:Y23)</f>
        <v>13634.999400000044</v>
      </c>
    </row>
    <row r="102" spans="1:27" x14ac:dyDescent="0.35">
      <c r="A102" s="107" t="s">
        <v>184</v>
      </c>
      <c r="B102" s="107" t="s">
        <v>185</v>
      </c>
      <c r="C102" s="76" t="s">
        <v>45</v>
      </c>
      <c r="D102" s="95">
        <f>SUM($D275:D275)</f>
        <v>10000</v>
      </c>
      <c r="E102" s="95">
        <f>SUM($D275:E275)</f>
        <v>20000</v>
      </c>
      <c r="F102" s="95">
        <f>SUM($D275:F275)</f>
        <v>30000</v>
      </c>
      <c r="G102" s="95">
        <f>SUM($D275:G275)</f>
        <v>40000</v>
      </c>
      <c r="H102" s="95">
        <f>SUM($D275:H275)</f>
        <v>50000</v>
      </c>
      <c r="I102" s="95">
        <f>SUM($D275:I275)</f>
        <v>60000</v>
      </c>
      <c r="J102" s="95">
        <f>SUM($D275:J275)</f>
        <v>70000</v>
      </c>
      <c r="K102" s="95">
        <f>SUM($D275:K275)</f>
        <v>80000</v>
      </c>
      <c r="L102" s="95">
        <f>SUM($D275:L275)</f>
        <v>90000</v>
      </c>
      <c r="M102" s="95">
        <f>SUM($D275:M275)</f>
        <v>100000</v>
      </c>
      <c r="N102" s="95">
        <f>SUM($D275:N275)</f>
        <v>100000</v>
      </c>
      <c r="O102" s="95">
        <f>SUM($D275:O275)</f>
        <v>110000</v>
      </c>
      <c r="P102" s="95">
        <f>SUM($D275:P275)</f>
        <v>120000</v>
      </c>
      <c r="Q102" s="95">
        <f>SUM($D275:Q275)</f>
        <v>130000</v>
      </c>
      <c r="R102" s="95">
        <f>SUM($D275:R275)</f>
        <v>140000</v>
      </c>
      <c r="S102" s="95">
        <f>SUM($D275:S275)</f>
        <v>150000</v>
      </c>
      <c r="T102" s="95">
        <f>SUM($D275:T275)</f>
        <v>160000</v>
      </c>
      <c r="U102" s="95">
        <f>SUM($D275:U275)</f>
        <v>170000</v>
      </c>
      <c r="V102" s="95">
        <f>SUM($D275:V275)</f>
        <v>170000</v>
      </c>
      <c r="W102" s="95">
        <f>SUM($D275:W275)</f>
        <v>180000</v>
      </c>
      <c r="X102" s="95">
        <f>SUM($D275:X275)</f>
        <v>190000</v>
      </c>
      <c r="Y102" s="95">
        <f>SUM($D275:Y275)</f>
        <v>194752.25</v>
      </c>
      <c r="Z102" s="95">
        <f>SUM($D275:Z275)</f>
        <v>204752.25</v>
      </c>
      <c r="AA102" s="95">
        <f>SUM($D275:AA275)</f>
        <v>204752.25</v>
      </c>
    </row>
    <row r="103" spans="1:27" x14ac:dyDescent="0.35">
      <c r="A103" s="107"/>
      <c r="B103" s="107"/>
      <c r="C103" s="76" t="s">
        <v>46</v>
      </c>
      <c r="D103" s="95">
        <f>'Stations Data'!$H$18-'Stations Data'!$J$18+SUM(Demand!$B25:B25)</f>
        <v>-11476.514138938637</v>
      </c>
      <c r="E103" s="95">
        <f>'Stations Data'!$H$18-'Stations Data'!$J$18+SUM(Demand!$B25:C25)</f>
        <v>-4773.0282778772744</v>
      </c>
      <c r="F103" s="95">
        <f>'Stations Data'!$H$18-'Stations Data'!$J$18+SUM(Demand!$B25:D25)</f>
        <v>1930.4575831840884</v>
      </c>
      <c r="G103" s="95">
        <f>'Stations Data'!$H$18-'Stations Data'!$J$18+SUM(Demand!$B25:E25)</f>
        <v>8633.9434442454512</v>
      </c>
      <c r="H103" s="95">
        <f>'Stations Data'!$H$18-'Stations Data'!$J$18+SUM(Demand!$B25:F25)</f>
        <v>15337.42930530681</v>
      </c>
      <c r="I103" s="95">
        <f>'Stations Data'!$H$18-'Stations Data'!$J$18+SUM(Demand!$B25:G25)</f>
        <v>22902.975728155332</v>
      </c>
      <c r="J103" s="95">
        <f>'Stations Data'!$H$18-'Stations Data'!$J$18+SUM(Demand!$B25:H25)</f>
        <v>32089.710670185683</v>
      </c>
      <c r="K103" s="95">
        <f>'Stations Data'!$H$18-'Stations Data'!$J$18+SUM(Demand!$B25:I25)</f>
        <v>41276.445612216034</v>
      </c>
      <c r="L103" s="95">
        <f>'Stations Data'!$H$18-'Stations Data'!$J$18+SUM(Demand!$B25:J25)</f>
        <v>51492.506598171356</v>
      </c>
      <c r="M103" s="95">
        <f>'Stations Data'!$H$18-'Stations Data'!$J$18+SUM(Demand!$B25:K25)</f>
        <v>61708.567584126678</v>
      </c>
      <c r="N103" s="95">
        <f>'Stations Data'!$H$18-'Stations Data'!$J$18+SUM(Demand!$B25:L25)</f>
        <v>71763.796375718724</v>
      </c>
      <c r="O103" s="95">
        <f>'Stations Data'!$H$18-'Stations Data'!$J$18+SUM(Demand!$B25:M25)</f>
        <v>81819.02516731077</v>
      </c>
      <c r="P103" s="95">
        <f>'Stations Data'!$H$18-'Stations Data'!$J$18+SUM(Demand!$B25:N25)</f>
        <v>91874.253958902817</v>
      </c>
      <c r="Q103" s="95">
        <f>'Stations Data'!$H$18-'Stations Data'!$J$18+SUM(Demand!$B25:O25)</f>
        <v>100662.12505891224</v>
      </c>
      <c r="R103" s="95">
        <f>'Stations Data'!$H$18-'Stations Data'!$J$18+SUM(Demand!$B25:P25)</f>
        <v>109977.5257564332</v>
      </c>
      <c r="S103" s="95">
        <f>'Stations Data'!$H$18-'Stations Data'!$J$18+SUM(Demand!$B25:Q25)</f>
        <v>119292.92645395416</v>
      </c>
      <c r="T103" s="95">
        <f>'Stations Data'!$H$18-'Stations Data'!$J$18+SUM(Demand!$B25:R25)</f>
        <v>128724.12633141669</v>
      </c>
      <c r="U103" s="95">
        <f>'Stations Data'!$H$18-'Stations Data'!$J$18+SUM(Demand!$B25:S25)</f>
        <v>138155.32620887921</v>
      </c>
      <c r="V103" s="95">
        <f>'Stations Data'!$H$18-'Stations Data'!$J$18+SUM(Demand!$B25:T25)</f>
        <v>146808.0982656235</v>
      </c>
      <c r="W103" s="95">
        <f>'Stations Data'!$H$18-'Stations Data'!$J$18+SUM(Demand!$B25:U25)</f>
        <v>155460.87032236776</v>
      </c>
      <c r="X103" s="95">
        <f>'Stations Data'!$H$18-'Stations Data'!$J$18+SUM(Demand!$B25:V25)</f>
        <v>163573.24620605144</v>
      </c>
      <c r="Y103" s="95">
        <f>'Stations Data'!$H$18-'Stations Data'!$J$18+SUM(Demand!$B25:W25)</f>
        <v>171685.62208973512</v>
      </c>
      <c r="Z103" s="95">
        <f>'Stations Data'!$H$18-'Stations Data'!$J$18+SUM(Demand!$B25:X25)</f>
        <v>179128.93604486756</v>
      </c>
      <c r="AA103" s="95">
        <f>'Stations Data'!$L$18-'Stations Data'!$J$18+SUM(Demand!$B25:Y25)</f>
        <v>204752.25</v>
      </c>
    </row>
    <row r="104" spans="1:27" x14ac:dyDescent="0.35">
      <c r="A104" s="107"/>
      <c r="B104" s="107"/>
      <c r="C104" s="79" t="s">
        <v>47</v>
      </c>
      <c r="D104" s="95">
        <f>'Stations Data'!$N$18-'Stations Data'!$J$18+SUM(Demand!$B25:B25)</f>
        <v>33973.485861061359</v>
      </c>
      <c r="E104" s="95">
        <f>'Stations Data'!$N$18-'Stations Data'!$J$18+SUM(Demand!$B25:C25)</f>
        <v>40676.971722122726</v>
      </c>
      <c r="F104" s="95">
        <f>'Stations Data'!$N$18-'Stations Data'!$J$18+SUM(Demand!$B25:D25)</f>
        <v>47380.457583184092</v>
      </c>
      <c r="G104" s="95">
        <f>'Stations Data'!$N$18-'Stations Data'!$J$18+SUM(Demand!$B25:E25)</f>
        <v>54083.943444245451</v>
      </c>
      <c r="H104" s="95">
        <f>'Stations Data'!$N$18-'Stations Data'!$J$18+SUM(Demand!$B25:F25)</f>
        <v>60787.42930530681</v>
      </c>
      <c r="I104" s="95">
        <f>'Stations Data'!$N$18-'Stations Data'!$J$18+SUM(Demand!$B25:G25)</f>
        <v>68352.975728155332</v>
      </c>
      <c r="J104" s="95">
        <f>'Stations Data'!$N$18-'Stations Data'!$J$18+SUM(Demand!$B25:H25)</f>
        <v>77539.710670185683</v>
      </c>
      <c r="K104" s="95">
        <f>'Stations Data'!$N$18-'Stations Data'!$J$18+SUM(Demand!$B25:I25)</f>
        <v>86726.445612216034</v>
      </c>
      <c r="L104" s="95">
        <f>'Stations Data'!$N$18-'Stations Data'!$J$18+SUM(Demand!$B25:J25)</f>
        <v>96942.506598171356</v>
      </c>
      <c r="M104" s="95">
        <f>'Stations Data'!$N$18-'Stations Data'!$J$18+SUM(Demand!$B25:K25)</f>
        <v>107158.56758412668</v>
      </c>
      <c r="N104" s="95">
        <f>'Stations Data'!$N$18-'Stations Data'!$J$18+SUM(Demand!$B25:L25)</f>
        <v>117213.79637571872</v>
      </c>
      <c r="O104" s="95">
        <f>'Stations Data'!$N$18-'Stations Data'!$J$18+SUM(Demand!$B25:M25)</f>
        <v>127269.02516731077</v>
      </c>
      <c r="P104" s="95">
        <f>'Stations Data'!$N$18-'Stations Data'!$J$18+SUM(Demand!$B25:N25)</f>
        <v>137324.25395890282</v>
      </c>
      <c r="Q104" s="95">
        <f>'Stations Data'!$N$18-'Stations Data'!$J$18+SUM(Demand!$B25:O25)</f>
        <v>146112.12505891224</v>
      </c>
      <c r="R104" s="95">
        <f>'Stations Data'!$N$18-'Stations Data'!$J$18+SUM(Demand!$B25:P25)</f>
        <v>155427.5257564332</v>
      </c>
      <c r="S104" s="95">
        <f>'Stations Data'!$N$18-'Stations Data'!$J$18+SUM(Demand!$B25:Q25)</f>
        <v>164742.92645395416</v>
      </c>
      <c r="T104" s="95">
        <f>'Stations Data'!$N$18-'Stations Data'!$J$18+SUM(Demand!$B25:R25)</f>
        <v>174174.12633141669</v>
      </c>
      <c r="U104" s="95">
        <f>'Stations Data'!$N$18-'Stations Data'!$J$18+SUM(Demand!$B25:S25)</f>
        <v>183605.32620887921</v>
      </c>
      <c r="V104" s="95">
        <f>'Stations Data'!$N$18-'Stations Data'!$J$18+SUM(Demand!$B25:T25)</f>
        <v>192258.0982656235</v>
      </c>
      <c r="W104" s="95">
        <f>'Stations Data'!$N$18-'Stations Data'!$J$18+SUM(Demand!$B25:U25)</f>
        <v>200910.87032236776</v>
      </c>
      <c r="X104" s="95">
        <f>'Stations Data'!$N$18-'Stations Data'!$J$18+SUM(Demand!$B25:V25)</f>
        <v>209023.24620605144</v>
      </c>
      <c r="Y104" s="95">
        <f>'Stations Data'!$N$18-'Stations Data'!$J$18+SUM(Demand!$B25:W25)</f>
        <v>217135.62208973512</v>
      </c>
      <c r="Z104" s="95">
        <f>'Stations Data'!$N$18-'Stations Data'!$J$18+SUM(Demand!$B25:X25)</f>
        <v>224578.93604486756</v>
      </c>
      <c r="AA104" s="95">
        <f>'Stations Data'!$N$18-'Stations Data'!$J$18+SUM(Demand!$B25:Y25)</f>
        <v>232022.25</v>
      </c>
    </row>
    <row r="105" spans="1:27" x14ac:dyDescent="0.35">
      <c r="A105" s="107"/>
      <c r="B105" s="107"/>
      <c r="C105" s="80" t="s">
        <v>57</v>
      </c>
      <c r="D105" s="95">
        <v>10000</v>
      </c>
      <c r="E105" s="95">
        <v>10000</v>
      </c>
      <c r="F105" s="95">
        <v>10000</v>
      </c>
      <c r="G105" s="95">
        <v>10000</v>
      </c>
      <c r="H105" s="95">
        <v>10000</v>
      </c>
      <c r="I105" s="95">
        <v>10000</v>
      </c>
      <c r="J105" s="95">
        <v>10000</v>
      </c>
      <c r="K105" s="95">
        <v>10000</v>
      </c>
      <c r="L105" s="95">
        <v>10000</v>
      </c>
      <c r="M105" s="95">
        <v>10000</v>
      </c>
      <c r="N105" s="95">
        <v>10000</v>
      </c>
      <c r="O105" s="95">
        <v>10000</v>
      </c>
      <c r="P105" s="95">
        <v>10000</v>
      </c>
      <c r="Q105" s="95">
        <v>10000</v>
      </c>
      <c r="R105" s="95">
        <v>10000</v>
      </c>
      <c r="S105" s="95">
        <v>10000</v>
      </c>
      <c r="T105" s="95">
        <v>10000</v>
      </c>
      <c r="U105" s="95">
        <v>10000</v>
      </c>
      <c r="V105" s="95">
        <v>10000</v>
      </c>
      <c r="W105" s="95">
        <v>10000</v>
      </c>
      <c r="X105" s="95">
        <v>10000</v>
      </c>
      <c r="Y105" s="95">
        <v>10000</v>
      </c>
      <c r="Z105" s="95">
        <v>10000</v>
      </c>
      <c r="AA105" s="95">
        <v>10000</v>
      </c>
    </row>
    <row r="106" spans="1:27" x14ac:dyDescent="0.35">
      <c r="A106" s="107"/>
      <c r="B106" s="107"/>
      <c r="C106" s="82" t="s">
        <v>61</v>
      </c>
      <c r="D106" s="93">
        <f t="shared" ref="D106:U106" si="39">D275</f>
        <v>10000</v>
      </c>
      <c r="E106" s="93">
        <f t="shared" si="39"/>
        <v>10000</v>
      </c>
      <c r="F106" s="93">
        <f t="shared" si="39"/>
        <v>10000</v>
      </c>
      <c r="G106" s="93">
        <f t="shared" si="39"/>
        <v>10000</v>
      </c>
      <c r="H106" s="93">
        <f t="shared" si="39"/>
        <v>10000</v>
      </c>
      <c r="I106" s="93">
        <f t="shared" si="39"/>
        <v>10000</v>
      </c>
      <c r="J106" s="93">
        <f t="shared" si="39"/>
        <v>10000</v>
      </c>
      <c r="K106" s="93">
        <f t="shared" si="39"/>
        <v>10000</v>
      </c>
      <c r="L106" s="93">
        <f t="shared" si="39"/>
        <v>10000</v>
      </c>
      <c r="M106" s="93">
        <f t="shared" si="39"/>
        <v>10000</v>
      </c>
      <c r="N106" s="93">
        <f t="shared" si="39"/>
        <v>0</v>
      </c>
      <c r="O106" s="93">
        <f t="shared" si="39"/>
        <v>10000</v>
      </c>
      <c r="P106" s="93">
        <f t="shared" si="39"/>
        <v>10000</v>
      </c>
      <c r="Q106" s="93">
        <f t="shared" si="39"/>
        <v>10000</v>
      </c>
      <c r="R106" s="93">
        <f t="shared" si="39"/>
        <v>10000</v>
      </c>
      <c r="S106" s="93">
        <f t="shared" si="39"/>
        <v>10000</v>
      </c>
      <c r="T106" s="93">
        <f t="shared" si="39"/>
        <v>10000</v>
      </c>
      <c r="U106" s="93">
        <f t="shared" si="39"/>
        <v>10000</v>
      </c>
      <c r="V106" s="93">
        <f t="shared" ref="V106:AA106" si="40">V275</f>
        <v>0</v>
      </c>
      <c r="W106" s="93">
        <f t="shared" si="40"/>
        <v>10000</v>
      </c>
      <c r="X106" s="93">
        <f t="shared" si="40"/>
        <v>10000</v>
      </c>
      <c r="Y106" s="93">
        <f t="shared" si="40"/>
        <v>4752.25</v>
      </c>
      <c r="Z106" s="93">
        <f t="shared" si="40"/>
        <v>10000</v>
      </c>
      <c r="AA106" s="93">
        <f t="shared" si="40"/>
        <v>0</v>
      </c>
    </row>
    <row r="107" spans="1:27" x14ac:dyDescent="0.35">
      <c r="A107" s="107"/>
      <c r="B107" s="107"/>
      <c r="C107" s="80" t="s">
        <v>48</v>
      </c>
      <c r="D107" s="95">
        <f>'Stations Data'!$J$18+SUM($D275:D275)-SUM(Demand!$B25:B25)</f>
        <v>57836.514138938641</v>
      </c>
      <c r="E107" s="95">
        <f>'Stations Data'!$J$18+SUM($D275:E275)-SUM(Demand!$B25:C25)</f>
        <v>61133.028277877274</v>
      </c>
      <c r="F107" s="95">
        <f>'Stations Data'!$J$18+SUM($D275:F275)-SUM(Demand!$B25:D25)</f>
        <v>64429.542416815908</v>
      </c>
      <c r="G107" s="95">
        <f>'Stations Data'!$J$18+SUM($D275:G275)-SUM(Demand!$B25:E25)</f>
        <v>67726.056555754549</v>
      </c>
      <c r="H107" s="95">
        <f>'Stations Data'!$J$18+SUM($D275:H275)-SUM(Demand!$B25:F25)</f>
        <v>71022.57069469319</v>
      </c>
      <c r="I107" s="95">
        <f>'Stations Data'!$J$18+SUM($D275:I275)-SUM(Demand!$B25:G25)</f>
        <v>73457.024271844668</v>
      </c>
      <c r="J107" s="95">
        <f>'Stations Data'!$J$18+SUM($D275:J275)-SUM(Demand!$B25:H25)</f>
        <v>74270.289329814317</v>
      </c>
      <c r="K107" s="95">
        <f>'Stations Data'!$J$18+SUM($D275:K275)-SUM(Demand!$B25:I25)</f>
        <v>75083.554387783966</v>
      </c>
      <c r="L107" s="95">
        <f>'Stations Data'!$J$18+SUM($D275:L275)-SUM(Demand!$B25:J25)</f>
        <v>74867.493401828644</v>
      </c>
      <c r="M107" s="95">
        <f>'Stations Data'!$J$18+SUM($D275:M275)-SUM(Demand!$B25:K25)</f>
        <v>74651.432415873322</v>
      </c>
      <c r="N107" s="95">
        <f>'Stations Data'!$J$18+SUM($D275:N275)-SUM(Demand!$B25:L25)</f>
        <v>64596.203624281276</v>
      </c>
      <c r="O107" s="95">
        <f>'Stations Data'!$J$18+SUM($D275:O275)-SUM(Demand!$B25:M25)</f>
        <v>64540.97483268923</v>
      </c>
      <c r="P107" s="95">
        <f>'Stations Data'!$J$18+SUM($D275:P275)-SUM(Demand!$B25:N25)</f>
        <v>64485.746041097183</v>
      </c>
      <c r="Q107" s="95">
        <f>'Stations Data'!$J$18+SUM($D275:Q275)-SUM(Demand!$B25:O25)</f>
        <v>65697.874941087764</v>
      </c>
      <c r="R107" s="95">
        <f>'Stations Data'!$J$18+SUM($D275:R275)-SUM(Demand!$B25:P25)</f>
        <v>66382.474243566801</v>
      </c>
      <c r="S107" s="95">
        <f>'Stations Data'!$J$18+SUM($D275:S275)-SUM(Demand!$B25:Q25)</f>
        <v>67067.073546045838</v>
      </c>
      <c r="T107" s="95">
        <f>'Stations Data'!$J$18+SUM($D275:T275)-SUM(Demand!$B25:R25)</f>
        <v>67635.873668583314</v>
      </c>
      <c r="U107" s="95">
        <f>'Stations Data'!$J$18+SUM($D275:U275)-SUM(Demand!$B25:S25)</f>
        <v>68204.673791120789</v>
      </c>
      <c r="V107" s="95">
        <f>'Stations Data'!$J$18+SUM($D275:V275)-SUM(Demand!$B25:T25)</f>
        <v>59551.901734376501</v>
      </c>
      <c r="W107" s="95">
        <f>'Stations Data'!$J$18+SUM($D275:W275)-SUM(Demand!$B25:U25)</f>
        <v>60899.129677632242</v>
      </c>
      <c r="X107" s="95">
        <f>'Stations Data'!$J$18+SUM($D275:X275)-SUM(Demand!$B25:V25)</f>
        <v>62786.753793948563</v>
      </c>
      <c r="Y107" s="95">
        <f>'Stations Data'!$J$18+SUM($D275:Y275)-SUM(Demand!$B25:W25)</f>
        <v>59426.627910264884</v>
      </c>
      <c r="Z107" s="95">
        <f>'Stations Data'!$J$18+SUM($D275:Z275)-SUM(Demand!$B25:X25)</f>
        <v>61983.313955132442</v>
      </c>
      <c r="AA107" s="95">
        <f>'Stations Data'!$J$18+SUM($D275:AA275)-SUM(Demand!$B25:Y25)</f>
        <v>54540</v>
      </c>
    </row>
    <row r="108" spans="1:27" s="45" customFormat="1" x14ac:dyDescent="0.35">
      <c r="A108" s="107"/>
      <c r="B108" s="105" t="s">
        <v>186</v>
      </c>
      <c r="C108" s="78" t="s">
        <v>32</v>
      </c>
      <c r="D108" s="92">
        <v>9.6786360000000002E-2</v>
      </c>
      <c r="E108" s="92">
        <v>9.6786360000000002E-2</v>
      </c>
      <c r="F108" s="92">
        <v>9.6786360000000002E-2</v>
      </c>
      <c r="G108" s="92">
        <v>9.6786360000000002E-2</v>
      </c>
      <c r="H108" s="92">
        <v>9.6786360000000002E-2</v>
      </c>
      <c r="I108" s="92">
        <v>9.6786360000000002E-2</v>
      </c>
      <c r="J108" s="92">
        <v>9.6786360000000002E-2</v>
      </c>
      <c r="K108" s="92">
        <v>9.6786360000000002E-2</v>
      </c>
      <c r="L108" s="92">
        <v>9.6786360000000002E-2</v>
      </c>
      <c r="M108" s="92">
        <v>9.6786360000000002E-2</v>
      </c>
      <c r="N108" s="92">
        <v>9.6786360000000002E-2</v>
      </c>
      <c r="O108" s="92">
        <v>9.6786360000000002E-2</v>
      </c>
      <c r="P108" s="92">
        <v>9.6786360000000002E-2</v>
      </c>
      <c r="Q108" s="92">
        <v>9.6786360000000002E-2</v>
      </c>
      <c r="R108" s="92">
        <v>9.6786360000000002E-2</v>
      </c>
      <c r="S108" s="92">
        <v>9.6786360000000002E-2</v>
      </c>
      <c r="T108" s="92">
        <v>9.6786360000000002E-2</v>
      </c>
      <c r="U108" s="92">
        <v>9.6786360000000002E-2</v>
      </c>
      <c r="V108" s="92">
        <v>9.6786360000000002E-2</v>
      </c>
      <c r="W108" s="92">
        <v>9.6786360000000002E-2</v>
      </c>
      <c r="X108" s="92">
        <v>9.6786360000000002E-2</v>
      </c>
      <c r="Y108" s="92">
        <v>9.6786360000000002E-2</v>
      </c>
      <c r="Z108" s="92">
        <v>9.6786360000000002E-2</v>
      </c>
      <c r="AA108" s="92">
        <v>9.6786360000000002E-2</v>
      </c>
    </row>
    <row r="109" spans="1:27" x14ac:dyDescent="0.35">
      <c r="A109" s="107"/>
      <c r="B109" s="105"/>
      <c r="C109" s="79" t="s">
        <v>45</v>
      </c>
      <c r="D109" s="93">
        <f>SUM($D270:D270)*'Stations Data'!$E13-SUM($D265:D265)-SUM($D271:D271)-SUM($D272:D272)-SUM($D274:D274)-SUM($D275:D275)-SUM(Demand!$B24:B24)+SUM($D268:D268)-SUM(Demand!$B17:$B18:'Demand'!B17:B18)-SUM($D278:D278)</f>
        <v>6330.0565964015977</v>
      </c>
      <c r="E109" s="93">
        <f>SUM($D270:E270)*'Stations Data'!$E13-SUM($D265:E265)-SUM($D271:E271)-SUM($D272:E272)-SUM($D274:E274)-SUM($D275:E275)-SUM(Demand!$B24:C24)+SUM($D268:E268)-SUM(Demand!$B17:$B18:'Demand'!C17:C18)-SUM($D278:E278)</f>
        <v>12666.361680144249</v>
      </c>
      <c r="F109" s="93">
        <f>SUM($D270:F270)*'Stations Data'!$E13-SUM($D265:F265)-SUM($D271:F271)-SUM($D272:F272)-SUM($D274:F274)-SUM($D275:F275)-SUM(Demand!$B24:D24)+SUM($D268:F268)-SUM(Demand!$B17:$B18:'Demand'!D17:D18)-SUM($D278:F278)</f>
        <v>20349.012874129639</v>
      </c>
      <c r="G109" s="93">
        <f>SUM($D270:G270)*'Stations Data'!$E13-SUM($D265:G265)-SUM($D271:G271)-SUM($D272:G272)-SUM($D274:G274)-SUM($D275:G275)-SUM(Demand!$B24:E24)+SUM($D268:G268)-SUM(Demand!$B17:$B18:'Demand'!E17:E18)-SUM($D278:G278)</f>
        <v>31291.046140677612</v>
      </c>
      <c r="H109" s="93">
        <f>SUM($D270:H270)*'Stations Data'!$E13-SUM($D265:H265)-SUM($D271:H271)-SUM($D272:H272)-SUM($D274:H274)-SUM($D275:H275)-SUM(Demand!$B24:F24)+SUM($D268:H268)-SUM(Demand!$B17:$B18:'Demand'!F17:F18)-SUM($D278:H278)</f>
        <v>39495.881312974743</v>
      </c>
      <c r="I109" s="93">
        <f>SUM($D270:I270)*'Stations Data'!$E13-SUM($D265:I265)-SUM($D271:I271)-SUM($D272:I272)-SUM($D274:I274)-SUM($D275:I275)-SUM(Demand!$B24:G24)+SUM($D268:I268)-SUM(Demand!$B17:$B18:'Demand'!G17:G18)-SUM($D278:I278)</f>
        <v>47676.946353655156</v>
      </c>
      <c r="J109" s="93">
        <f>SUM($D270:J270)*'Stations Data'!$E13-SUM($D265:J265)-SUM($D271:J271)-SUM($D272:J272)-SUM($D274:J274)-SUM($D275:J275)-SUM(Demand!$B24:H24)+SUM($D268:J268)-SUM(Demand!$B17:$B18:'Demand'!H17:H18)-SUM($D278:J278)</f>
        <v>54385.019742011355</v>
      </c>
      <c r="K109" s="93">
        <f>SUM($D270:K270)*'Stations Data'!$E13-SUM($D265:K265)-SUM($D271:K271)-SUM($D272:K272)-SUM($D274:K274)-SUM($D275:K275)-SUM(Demand!$B24:I24)+SUM($D268:K268)-SUM(Demand!$B17:$B18:'Demand'!I17:I18)-SUM($D278:K278)</f>
        <v>58970.072374132484</v>
      </c>
      <c r="L109" s="93">
        <f>SUM($D270:L270)*'Stations Data'!$E13-SUM($D265:L265)-SUM($D271:L271)-SUM($D272:L272)-SUM($D274:L274)-SUM($D275:L275)-SUM(Demand!$B24:J24)+SUM($D268:L268)-SUM(Demand!$B17:$B18:'Demand'!J17:J18)-SUM($D278:L278)</f>
        <v>60642.394676693788</v>
      </c>
      <c r="M109" s="93">
        <f>SUM($D270:M270)*'Stations Data'!$E13-SUM($D265:M265)-SUM($D271:M271)-SUM($D272:M272)-SUM($D274:M274)-SUM($D275:M275)-SUM(Demand!$B24:K24)+SUM($D268:M268)-SUM(Demand!$B17:$B18:'Demand'!K17:K18)-SUM($D278:M278)</f>
        <v>54140.706137361296</v>
      </c>
      <c r="N109" s="93">
        <f>SUM($D270:N270)*'Stations Data'!$E13-SUM($D265:N265)-SUM($D271:N271)-SUM($D272:N272)-SUM($D274:N274)-SUM($D275:N275)-SUM(Demand!$B24:L24)+SUM($D268:N268)-SUM(Demand!$B17:$B18:'Demand'!L17:L18)-SUM($D278:N278)</f>
        <v>65279.474011927159</v>
      </c>
      <c r="O109" s="93">
        <f>SUM($D270:O270)*'Stations Data'!$E13-SUM($D265:O265)-SUM($D271:O271)-SUM($D272:O272)-SUM($D274:O274)-SUM($D275:O275)-SUM(Demand!$B24:M24)+SUM($D268:O268)-SUM(Demand!$B17:$B18:'Demand'!M17:M18)-SUM($D278:O278)</f>
        <v>66691.145372739498</v>
      </c>
      <c r="P109" s="93">
        <f>SUM($D270:P270)*'Stations Data'!$E13-SUM($D265:P265)-SUM($D271:P271)-SUM($D272:P272)-SUM($D274:P274)-SUM($D275:P275)-SUM(Demand!$B24:N24)+SUM($D268:P268)-SUM(Demand!$B17:$B18:'Demand'!N17:N18)-SUM($D278:P278)</f>
        <v>68411.719175061167</v>
      </c>
      <c r="Q109" s="93">
        <f>SUM($D270:Q270)*'Stations Data'!$E13-SUM($D265:Q265)-SUM($D271:Q271)-SUM($D272:Q272)-SUM($D274:Q274)-SUM($D275:Q275)-SUM(Demand!$B24:O24)+SUM($D268:Q268)-SUM(Demand!$B17:$B18:'Demand'!O17:O18)-SUM($D278:Q278)</f>
        <v>66439.664452784229</v>
      </c>
      <c r="R109" s="93">
        <f>SUM($D270:R270)*'Stations Data'!$E13-SUM($D265:R265)-SUM($D271:R271)-SUM($D272:R272)-SUM($D274:R274)-SUM($D275:R275)-SUM(Demand!$B24:P24)+SUM($D268:R268)-SUM(Demand!$B17:$B18:'Demand'!P17:P18)-SUM($D278:R278)</f>
        <v>66967.492340854471</v>
      </c>
      <c r="S109" s="93">
        <f>SUM($D270:S270)*'Stations Data'!$E13-SUM($D265:S265)-SUM($D271:S271)-SUM($D272:S272)-SUM($D274:S274)-SUM($D275:S275)-SUM(Demand!$B24:Q24)+SUM($D268:S268)-SUM(Demand!$B17:$B18:'Demand'!Q17:Q18)-SUM($D278:S278)</f>
        <v>62275.215994496626</v>
      </c>
      <c r="T109" s="93">
        <f>SUM($D270:T270)*'Stations Data'!$E13-SUM($D265:T265)-SUM($D271:T271)-SUM($D272:T272)-SUM($D274:T274)-SUM($D275:T275)-SUM(Demand!$B24:R24)+SUM($D268:T268)-SUM(Demand!$B17:$B18:'Demand'!R17:R18)-SUM($D278:T278)</f>
        <v>56779.514277179027</v>
      </c>
      <c r="U109" s="93">
        <f>SUM($D270:U270)*'Stations Data'!$E13-SUM($D265:U265)-SUM($D271:U271)-SUM($D272:U272)-SUM($D274:U274)-SUM($D275:U275)-SUM(Demand!$B24:S24)+SUM($D268:U268)-SUM(Demand!$B17:$B18:'Demand'!S17:S18)-SUM($D278:U278)</f>
        <v>53763.612320738233</v>
      </c>
      <c r="V109" s="93">
        <f>SUM($D270:V270)*'Stations Data'!$E13-SUM($D265:V265)-SUM($D271:V271)-SUM($D272:V272)-SUM($D274:V274)-SUM($D275:V275)-SUM(Demand!$B24:T24)+SUM($D268:V268)-SUM(Demand!$B17:$B18:'Demand'!T17:T18)-SUM($D278:V278)</f>
        <v>60186.611531690869</v>
      </c>
      <c r="W109" s="93">
        <f>SUM($D270:W270)*'Stations Data'!$E13-SUM($D265:W265)-SUM($D271:W271)-SUM($D272:W272)-SUM($D274:W274)-SUM($D275:W275)-SUM(Demand!$B24:U24)+SUM($D268:W268)-SUM(Demand!$B17:$B18:'Demand'!U17:U18)-SUM($D278:W278)</f>
        <v>50371.443108020176</v>
      </c>
      <c r="X109" s="93">
        <f>SUM($D270:X270)*'Stations Data'!$E13-SUM($D265:X265)-SUM($D271:X271)-SUM($D272:X272)-SUM($D274:X274)-SUM($D275:X275)-SUM(Demand!$B24:V24)+SUM($D268:X268)-SUM(Demand!$B17:$B18:'Demand'!V17:V18)-SUM($D278:X278)</f>
        <v>34417.050824915495</v>
      </c>
      <c r="Y109" s="93">
        <f>SUM($D270:Y270)*'Stations Data'!$E13-SUM($D265:Y265)-SUM($D271:Y271)-SUM($D272:Y272)-SUM($D274:Y274)-SUM($D275:Y275)-SUM(Demand!$B24:W24)+SUM($D268:Y268)-SUM(Demand!$B17:$B18:'Demand'!W17:W18)-SUM($D278:Y278)</f>
        <v>24803.057474759029</v>
      </c>
      <c r="Z109" s="93">
        <f>SUM($D270:Z270)*'Stations Data'!$E13-SUM($D265:Z265)-SUM($D271:Z271)-SUM($D272:Z272)-SUM($D274:Z274)-SUM($D275:Z275)-SUM(Demand!$B24:X24)+SUM($D268:Z268)-SUM(Demand!$B17:$B18:'Demand'!X17:X18)-SUM($D278:Z278)</f>
        <v>10077.655516239261</v>
      </c>
      <c r="AA109" s="93">
        <f>SUM($D270:AA270)*'Stations Data'!$E13-SUM($D265:AA265)-SUM($D271:AA271)-SUM($D272:AA272)-SUM($D274:AA274)-SUM($D275:AA275)-SUM(Demand!$B24:Y24)+SUM($D268:AA268)-SUM(Demand!$B17:$B18:'Demand'!Y17:Y18)-SUM($D278:AA278)</f>
        <v>3.3999998995568603E-3</v>
      </c>
    </row>
    <row r="110" spans="1:27" x14ac:dyDescent="0.35">
      <c r="A110" s="107"/>
      <c r="B110" s="105"/>
      <c r="C110" s="79" t="s">
        <v>46</v>
      </c>
      <c r="D110" s="93">
        <f>'Stations Data'!$H$19-'Stations Data'!$J$19</f>
        <v>-46396.875000000015</v>
      </c>
      <c r="E110" s="93">
        <f>'Stations Data'!$H$19-'Stations Data'!$J$19</f>
        <v>-46396.875000000015</v>
      </c>
      <c r="F110" s="93">
        <f>'Stations Data'!$H$19-'Stations Data'!$J$19</f>
        <v>-46396.875000000015</v>
      </c>
      <c r="G110" s="93">
        <f>'Stations Data'!$H$19-'Stations Data'!$J$19</f>
        <v>-46396.875000000015</v>
      </c>
      <c r="H110" s="93">
        <f>'Stations Data'!$H$19-'Stations Data'!$J$19</f>
        <v>-46396.875000000015</v>
      </c>
      <c r="I110" s="93">
        <f>'Stations Data'!$H$19-'Stations Data'!$J$19</f>
        <v>-46396.875000000015</v>
      </c>
      <c r="J110" s="93">
        <f>'Stations Data'!$H$19-'Stations Data'!$J$19</f>
        <v>-46396.875000000015</v>
      </c>
      <c r="K110" s="93">
        <f>'Stations Data'!$H$19-'Stations Data'!$J$19</f>
        <v>-46396.875000000015</v>
      </c>
      <c r="L110" s="93">
        <f>'Stations Data'!$H$19-'Stations Data'!$J$19</f>
        <v>-46396.875000000015</v>
      </c>
      <c r="M110" s="93">
        <f>'Stations Data'!$H$19-'Stations Data'!$J$19</f>
        <v>-46396.875000000015</v>
      </c>
      <c r="N110" s="93">
        <f>'Stations Data'!$H$19-'Stations Data'!$J$19</f>
        <v>-46396.875000000015</v>
      </c>
      <c r="O110" s="93">
        <f>'Stations Data'!$H$19-'Stations Data'!$J$19</f>
        <v>-46396.875000000015</v>
      </c>
      <c r="P110" s="93">
        <f>'Stations Data'!$H$19-'Stations Data'!$J$19</f>
        <v>-46396.875000000015</v>
      </c>
      <c r="Q110" s="93">
        <f>'Stations Data'!$H$19-'Stations Data'!$J$19</f>
        <v>-46396.875000000015</v>
      </c>
      <c r="R110" s="93">
        <f>'Stations Data'!$H$19-'Stations Data'!$J$19</f>
        <v>-46396.875000000015</v>
      </c>
      <c r="S110" s="93">
        <f>'Stations Data'!$H$19-'Stations Data'!$J$19</f>
        <v>-46396.875000000015</v>
      </c>
      <c r="T110" s="93">
        <f>'Stations Data'!$H$19-'Stations Data'!$J$19</f>
        <v>-46396.875000000015</v>
      </c>
      <c r="U110" s="93">
        <f>'Stations Data'!$H$19-'Stations Data'!$J$19</f>
        <v>-46396.875000000015</v>
      </c>
      <c r="V110" s="93">
        <f>'Stations Data'!$H$19-'Stations Data'!$J$19</f>
        <v>-46396.875000000015</v>
      </c>
      <c r="W110" s="93">
        <f>'Stations Data'!$H$19-'Stations Data'!$J$19</f>
        <v>-46396.875000000015</v>
      </c>
      <c r="X110" s="93">
        <f>'Stations Data'!$H$19-'Stations Data'!$J$19</f>
        <v>-46396.875000000015</v>
      </c>
      <c r="Y110" s="93">
        <f>'Stations Data'!$H$19-'Stations Data'!$J$19</f>
        <v>-46396.875000000015</v>
      </c>
      <c r="Z110" s="93">
        <f>'Stations Data'!$H$19-'Stations Data'!$J$19</f>
        <v>-46396.875000000015</v>
      </c>
      <c r="AA110" s="93">
        <f>'Stations Data'!$L$19-'Stations Data'!$J$19</f>
        <v>0</v>
      </c>
    </row>
    <row r="111" spans="1:27" x14ac:dyDescent="0.35">
      <c r="A111" s="107"/>
      <c r="B111" s="105"/>
      <c r="C111" s="79" t="s">
        <v>47</v>
      </c>
      <c r="D111" s="93">
        <f>'Stations Data'!$N$19-'Stations Data'!$J$19</f>
        <v>68411.71875</v>
      </c>
      <c r="E111" s="93">
        <f>'Stations Data'!$N$19-'Stations Data'!$J$19</f>
        <v>68411.71875</v>
      </c>
      <c r="F111" s="93">
        <f>'Stations Data'!$N$19-'Stations Data'!$J$19</f>
        <v>68411.71875</v>
      </c>
      <c r="G111" s="93">
        <f>'Stations Data'!$N$19-'Stations Data'!$J$19</f>
        <v>68411.71875</v>
      </c>
      <c r="H111" s="93">
        <f>'Stations Data'!$N$19-'Stations Data'!$J$19</f>
        <v>68411.71875</v>
      </c>
      <c r="I111" s="93">
        <f>'Stations Data'!$N$19-'Stations Data'!$J$19</f>
        <v>68411.71875</v>
      </c>
      <c r="J111" s="93">
        <f>'Stations Data'!$N$19-'Stations Data'!$J$19</f>
        <v>68411.71875</v>
      </c>
      <c r="K111" s="93">
        <f>'Stations Data'!$N$19-'Stations Data'!$J$19</f>
        <v>68411.71875</v>
      </c>
      <c r="L111" s="93">
        <f>'Stations Data'!$N$19-'Stations Data'!$J$19</f>
        <v>68411.71875</v>
      </c>
      <c r="M111" s="93">
        <f>'Stations Data'!$N$19-'Stations Data'!$J$19</f>
        <v>68411.71875</v>
      </c>
      <c r="N111" s="93">
        <f>'Stations Data'!$N$19-'Stations Data'!$J$19</f>
        <v>68411.71875</v>
      </c>
      <c r="O111" s="93">
        <f>'Stations Data'!$N$19-'Stations Data'!$J$19</f>
        <v>68411.71875</v>
      </c>
      <c r="P111" s="93">
        <f>'Stations Data'!$N$19-'Stations Data'!$J$19</f>
        <v>68411.71875</v>
      </c>
      <c r="Q111" s="93">
        <f>'Stations Data'!$N$19-'Stations Data'!$J$19</f>
        <v>68411.71875</v>
      </c>
      <c r="R111" s="93">
        <f>'Stations Data'!$N$19-'Stations Data'!$J$19</f>
        <v>68411.71875</v>
      </c>
      <c r="S111" s="93">
        <f>'Stations Data'!$N$19-'Stations Data'!$J$19</f>
        <v>68411.71875</v>
      </c>
      <c r="T111" s="93">
        <f>'Stations Data'!$N$19-'Stations Data'!$J$19</f>
        <v>68411.71875</v>
      </c>
      <c r="U111" s="93">
        <f>'Stations Data'!$N$19-'Stations Data'!$J$19</f>
        <v>68411.71875</v>
      </c>
      <c r="V111" s="93">
        <f>'Stations Data'!$N$19-'Stations Data'!$J$19</f>
        <v>68411.71875</v>
      </c>
      <c r="W111" s="93">
        <f>'Stations Data'!$N$19-'Stations Data'!$J$19</f>
        <v>68411.71875</v>
      </c>
      <c r="X111" s="93">
        <f>'Stations Data'!$N$19-'Stations Data'!$J$19</f>
        <v>68411.71875</v>
      </c>
      <c r="Y111" s="93">
        <f>'Stations Data'!$N$19-'Stations Data'!$J$19</f>
        <v>68411.71875</v>
      </c>
      <c r="Z111" s="93">
        <f>'Stations Data'!$N$19-'Stations Data'!$J$19</f>
        <v>68411.71875</v>
      </c>
      <c r="AA111" s="93">
        <f>'Stations Data'!$N$19-'Stations Data'!$J$19</f>
        <v>68411.71875</v>
      </c>
    </row>
    <row r="112" spans="1:27" x14ac:dyDescent="0.35">
      <c r="A112" s="107"/>
      <c r="B112" s="105"/>
      <c r="C112" s="79" t="s">
        <v>59</v>
      </c>
      <c r="D112" s="93">
        <f>'Stations Data'!$E19*D276</f>
        <v>3000</v>
      </c>
      <c r="E112" s="93">
        <f>'Stations Data'!$E19*E276</f>
        <v>3000</v>
      </c>
      <c r="F112" s="93">
        <f>'Stations Data'!$E19*F276</f>
        <v>3000</v>
      </c>
      <c r="G112" s="93">
        <f>'Stations Data'!$E19*G276</f>
        <v>3000</v>
      </c>
      <c r="H112" s="93">
        <f>'Stations Data'!$E19*H276</f>
        <v>3000</v>
      </c>
      <c r="I112" s="93">
        <f>'Stations Data'!$E19*I276</f>
        <v>3000</v>
      </c>
      <c r="J112" s="93">
        <f>'Stations Data'!$E19*J276</f>
        <v>3000</v>
      </c>
      <c r="K112" s="93">
        <f>'Stations Data'!$E19*K276</f>
        <v>3000</v>
      </c>
      <c r="L112" s="93">
        <f>'Stations Data'!$E19*L276</f>
        <v>3000</v>
      </c>
      <c r="M112" s="93">
        <f>'Stations Data'!$E19*M276</f>
        <v>3000</v>
      </c>
      <c r="N112" s="93">
        <f>'Stations Data'!$E19*N276</f>
        <v>3000</v>
      </c>
      <c r="O112" s="93">
        <f>'Stations Data'!$E19*O276</f>
        <v>3000</v>
      </c>
      <c r="P112" s="93">
        <f>'Stations Data'!$E19*P276</f>
        <v>3000</v>
      </c>
      <c r="Q112" s="93">
        <f>'Stations Data'!$E19*Q276</f>
        <v>3000</v>
      </c>
      <c r="R112" s="93">
        <f>'Stations Data'!$E19*R276</f>
        <v>3000</v>
      </c>
      <c r="S112" s="93">
        <f>'Stations Data'!$E19*S276</f>
        <v>3000</v>
      </c>
      <c r="T112" s="93">
        <f>'Stations Data'!$E19*T276</f>
        <v>3000</v>
      </c>
      <c r="U112" s="93">
        <f>'Stations Data'!$E19*U276</f>
        <v>3000</v>
      </c>
      <c r="V112" s="93">
        <f>'Stations Data'!$E19*V276</f>
        <v>3000</v>
      </c>
      <c r="W112" s="93">
        <f>'Stations Data'!$E19*W276</f>
        <v>3000</v>
      </c>
      <c r="X112" s="93">
        <f>'Stations Data'!$E19*X276</f>
        <v>3000</v>
      </c>
      <c r="Y112" s="93">
        <f>'Stations Data'!$E19*Y276</f>
        <v>3000</v>
      </c>
      <c r="Z112" s="93">
        <f>'Stations Data'!$E19*Z276</f>
        <v>3000</v>
      </c>
      <c r="AA112" s="93">
        <f>'Stations Data'!$E19*AA276</f>
        <v>3000</v>
      </c>
    </row>
    <row r="113" spans="1:27" x14ac:dyDescent="0.35">
      <c r="A113" s="107"/>
      <c r="B113" s="105"/>
      <c r="C113" s="79" t="s">
        <v>66</v>
      </c>
      <c r="D113" s="93">
        <f>'Stations Data'!$F19*D276</f>
        <v>16000</v>
      </c>
      <c r="E113" s="93">
        <f>'Stations Data'!$F19*E276</f>
        <v>16000</v>
      </c>
      <c r="F113" s="93">
        <f>'Stations Data'!$F19*F276</f>
        <v>16000</v>
      </c>
      <c r="G113" s="93">
        <f>'Stations Data'!$F19*G276</f>
        <v>16000</v>
      </c>
      <c r="H113" s="93">
        <f>'Stations Data'!$F19*H276</f>
        <v>16000</v>
      </c>
      <c r="I113" s="93">
        <f>'Stations Data'!$F19*I276</f>
        <v>16000</v>
      </c>
      <c r="J113" s="93">
        <f>'Stations Data'!$F19*J276</f>
        <v>16000</v>
      </c>
      <c r="K113" s="93">
        <f>'Stations Data'!$F19*K276</f>
        <v>16000</v>
      </c>
      <c r="L113" s="93">
        <f>'Stations Data'!$F19*L276</f>
        <v>16000</v>
      </c>
      <c r="M113" s="93">
        <f>'Stations Data'!$F19*M276</f>
        <v>16000</v>
      </c>
      <c r="N113" s="93">
        <f>'Stations Data'!$F19*N276</f>
        <v>16000</v>
      </c>
      <c r="O113" s="93">
        <f>'Stations Data'!$F19*O276</f>
        <v>16000</v>
      </c>
      <c r="P113" s="93">
        <f>'Stations Data'!$F19*P276</f>
        <v>16000</v>
      </c>
      <c r="Q113" s="93">
        <f>'Stations Data'!$F19*Q276</f>
        <v>16000</v>
      </c>
      <c r="R113" s="93">
        <f>'Stations Data'!$F19*R276</f>
        <v>16000</v>
      </c>
      <c r="S113" s="93">
        <f>'Stations Data'!$F19*S276</f>
        <v>16000</v>
      </c>
      <c r="T113" s="93">
        <f>'Stations Data'!$F19*T276</f>
        <v>16000</v>
      </c>
      <c r="U113" s="93">
        <f>'Stations Data'!$F19*U276</f>
        <v>16000</v>
      </c>
      <c r="V113" s="93">
        <f>'Stations Data'!$F19*V276</f>
        <v>16000</v>
      </c>
      <c r="W113" s="93">
        <f>'Stations Data'!$F19*W276</f>
        <v>16000</v>
      </c>
      <c r="X113" s="93">
        <f>'Stations Data'!$F19*X276</f>
        <v>16000</v>
      </c>
      <c r="Y113" s="93">
        <f>'Stations Data'!$F19*Y276</f>
        <v>16000</v>
      </c>
      <c r="Z113" s="93">
        <f>'Stations Data'!$F19*Z276</f>
        <v>16000</v>
      </c>
      <c r="AA113" s="93">
        <f>'Stations Data'!$F19*AA276</f>
        <v>16000</v>
      </c>
    </row>
    <row r="114" spans="1:27" x14ac:dyDescent="0.35">
      <c r="A114" s="107"/>
      <c r="B114" s="105"/>
      <c r="C114" s="79" t="s">
        <v>33</v>
      </c>
    </row>
    <row r="115" spans="1:27" x14ac:dyDescent="0.35">
      <c r="A115" s="107"/>
      <c r="B115" s="105"/>
      <c r="C115" s="80" t="s">
        <v>54</v>
      </c>
    </row>
    <row r="116" spans="1:27" x14ac:dyDescent="0.35">
      <c r="A116" s="107"/>
      <c r="B116" s="105"/>
      <c r="C116" s="80" t="s">
        <v>50</v>
      </c>
      <c r="E116" s="93">
        <f t="shared" ref="E116:V116" si="41">D278-E278</f>
        <v>0</v>
      </c>
      <c r="F116" s="93">
        <f t="shared" si="41"/>
        <v>0</v>
      </c>
      <c r="G116" s="93">
        <f t="shared" si="41"/>
        <v>0</v>
      </c>
      <c r="H116" s="93">
        <f t="shared" si="41"/>
        <v>0</v>
      </c>
      <c r="I116" s="93">
        <f t="shared" si="41"/>
        <v>0</v>
      </c>
      <c r="J116" s="93">
        <f t="shared" si="41"/>
        <v>0</v>
      </c>
      <c r="K116" s="93">
        <f t="shared" si="41"/>
        <v>0</v>
      </c>
      <c r="L116" s="93">
        <f t="shared" si="41"/>
        <v>0</v>
      </c>
      <c r="M116" s="93">
        <f t="shared" si="41"/>
        <v>0</v>
      </c>
      <c r="N116" s="93">
        <f t="shared" si="41"/>
        <v>0</v>
      </c>
      <c r="O116" s="93">
        <f t="shared" si="41"/>
        <v>0</v>
      </c>
      <c r="P116" s="93">
        <f t="shared" si="41"/>
        <v>0</v>
      </c>
      <c r="Q116" s="93">
        <f t="shared" si="41"/>
        <v>149.82000000000062</v>
      </c>
      <c r="R116" s="93">
        <f t="shared" si="41"/>
        <v>0</v>
      </c>
      <c r="S116" s="93">
        <f t="shared" si="41"/>
        <v>0</v>
      </c>
      <c r="T116" s="93">
        <f t="shared" si="41"/>
        <v>0</v>
      </c>
      <c r="U116" s="93">
        <f t="shared" si="41"/>
        <v>0</v>
      </c>
      <c r="V116" s="93">
        <f t="shared" si="41"/>
        <v>0</v>
      </c>
      <c r="W116" s="93">
        <f>V278-W278</f>
        <v>-6850.1795999999995</v>
      </c>
      <c r="X116" s="93">
        <f>W278-X278</f>
        <v>0</v>
      </c>
      <c r="Y116" s="93">
        <f>X278-Y278</f>
        <v>0</v>
      </c>
      <c r="Z116" s="93">
        <f>Y278-Z278</f>
        <v>0</v>
      </c>
      <c r="AA116" s="93">
        <f>Z278-AA278</f>
        <v>0</v>
      </c>
    </row>
    <row r="117" spans="1:27" x14ac:dyDescent="0.35">
      <c r="A117" s="107"/>
      <c r="B117" s="105"/>
      <c r="C117" s="80" t="s">
        <v>51</v>
      </c>
      <c r="E117" s="93">
        <f t="shared" ref="E117:V117" si="42">-(D278-E278)</f>
        <v>0</v>
      </c>
      <c r="F117" s="93">
        <f t="shared" si="42"/>
        <v>0</v>
      </c>
      <c r="G117" s="93">
        <f t="shared" si="42"/>
        <v>0</v>
      </c>
      <c r="H117" s="93">
        <f t="shared" si="42"/>
        <v>0</v>
      </c>
      <c r="I117" s="93">
        <f t="shared" si="42"/>
        <v>0</v>
      </c>
      <c r="J117" s="93">
        <f t="shared" si="42"/>
        <v>0</v>
      </c>
      <c r="K117" s="93">
        <f t="shared" si="42"/>
        <v>0</v>
      </c>
      <c r="L117" s="93">
        <f t="shared" si="42"/>
        <v>0</v>
      </c>
      <c r="M117" s="93">
        <f t="shared" si="42"/>
        <v>0</v>
      </c>
      <c r="N117" s="93">
        <f t="shared" si="42"/>
        <v>0</v>
      </c>
      <c r="O117" s="93">
        <f t="shared" si="42"/>
        <v>0</v>
      </c>
      <c r="P117" s="93">
        <f t="shared" si="42"/>
        <v>0</v>
      </c>
      <c r="Q117" s="93">
        <f t="shared" si="42"/>
        <v>-149.82000000000062</v>
      </c>
      <c r="R117" s="93">
        <f t="shared" si="42"/>
        <v>0</v>
      </c>
      <c r="S117" s="93">
        <f t="shared" si="42"/>
        <v>0</v>
      </c>
      <c r="T117" s="93">
        <f t="shared" si="42"/>
        <v>0</v>
      </c>
      <c r="U117" s="93">
        <f t="shared" si="42"/>
        <v>0</v>
      </c>
      <c r="V117" s="93">
        <f t="shared" si="42"/>
        <v>0</v>
      </c>
      <c r="W117" s="93">
        <f>-(V278-W278)</f>
        <v>6850.1795999999995</v>
      </c>
      <c r="X117" s="93">
        <f>-(W278-X278)</f>
        <v>0</v>
      </c>
      <c r="Y117" s="93">
        <f>-(X278-Y278)</f>
        <v>0</v>
      </c>
      <c r="Z117" s="93">
        <f>-(Y278-Z278)</f>
        <v>0</v>
      </c>
      <c r="AA117" s="93">
        <f>-(Z278-AA278)</f>
        <v>0</v>
      </c>
    </row>
    <row r="118" spans="1:27" x14ac:dyDescent="0.35">
      <c r="A118" s="107"/>
      <c r="B118" s="105"/>
      <c r="C118" s="80" t="s">
        <v>52</v>
      </c>
      <c r="D118" s="93">
        <v>7000</v>
      </c>
      <c r="G118" s="93" t="s">
        <v>44</v>
      </c>
      <c r="I118" s="93">
        <f>SUM(E277:AA277)</f>
        <v>7000.0000499999996</v>
      </c>
    </row>
    <row r="119" spans="1:27" x14ac:dyDescent="0.35">
      <c r="A119" s="107"/>
      <c r="B119" s="105"/>
      <c r="C119" s="79" t="s">
        <v>48</v>
      </c>
      <c r="D119" s="93">
        <f>'Stations Data'!$J$19+SUM($D270:D270)*'Stations Data'!$E13-SUM($D265:D265)-SUM($D271:D271)-SUM($D272:D272)-SUM($D274:D274)-SUM($D275:D275)-SUM(Demand!$B24:B24)+SUM($D268:D268)-SUM(Demand!$B17:$B18:'Demand'!B17:B18)-SUM($D278:D278)</f>
        <v>142680.05659640158</v>
      </c>
      <c r="E119" s="93">
        <f>'Stations Data'!$J$19+SUM($D270:E270)*'Stations Data'!$E13-SUM($D265:E265)-SUM($D271:E271)-SUM($D272:E272)-SUM($D274:E274)-SUM($D275:E275)-SUM(Demand!$B24:C24)+SUM($D268:E268)-SUM(Demand!$B17:$B18:'Demand'!C17:C18)-SUM($D278:E278)</f>
        <v>149016.36168014424</v>
      </c>
      <c r="F119" s="93">
        <f>'Stations Data'!$J$19+SUM($D270:F270)*'Stations Data'!$E13-SUM($D265:F265)-SUM($D271:F271)-SUM($D272:F272)-SUM($D274:F274)-SUM($D275:F275)-SUM(Demand!$B24:D24)+SUM($D268:F268)-SUM(Demand!$B17:$B18:'Demand'!D17:D18)-SUM($D278:F278)</f>
        <v>156699.01287412966</v>
      </c>
      <c r="G119" s="93">
        <f>'Stations Data'!$J$19+SUM($D270:G270)*'Stations Data'!$E13-SUM($D265:G265)-SUM($D271:G271)-SUM($D272:G272)-SUM($D274:G274)-SUM($D275:G275)-SUM(Demand!$B24:E24)+SUM($D268:G268)-SUM(Demand!$B17:$B18:'Demand'!E17:E18)-SUM($D278:G278)</f>
        <v>167641.04614067764</v>
      </c>
      <c r="H119" s="93">
        <f>'Stations Data'!$J$19+SUM($D270:H270)*'Stations Data'!$E13-SUM($D265:H265)-SUM($D271:H271)-SUM($D272:H272)-SUM($D274:H274)-SUM($D275:H275)-SUM(Demand!$B24:F24)+SUM($D268:H268)-SUM(Demand!$B17:$B18:'Demand'!F17:F18)-SUM($D278:H278)</f>
        <v>175845.88131297473</v>
      </c>
      <c r="I119" s="93">
        <f>'Stations Data'!$J$19+SUM($D270:I270)*'Stations Data'!$E13-SUM($D265:I265)-SUM($D271:I271)-SUM($D272:I272)-SUM($D274:I274)-SUM($D275:I275)-SUM(Demand!$B24:G24)+SUM($D268:I268)-SUM(Demand!$B17:$B18:'Demand'!G17:G18)-SUM($D278:I278)</f>
        <v>184026.94635365516</v>
      </c>
      <c r="J119" s="93">
        <f>'Stations Data'!$J$19+SUM($D270:J270)*'Stations Data'!$E13-SUM($D265:J265)-SUM($D271:J271)-SUM($D272:J272)-SUM($D274:J274)-SUM($D275:J275)-SUM(Demand!$B24:H24)+SUM($D268:J268)-SUM(Demand!$B17:$B18:'Demand'!H17:H18)-SUM($D278:J278)</f>
        <v>190735.01974201135</v>
      </c>
      <c r="K119" s="93">
        <f>'Stations Data'!$J$19+SUM($D270:K270)*'Stations Data'!$E13-SUM($D265:K265)-SUM($D271:K271)-SUM($D272:K272)-SUM($D274:K274)-SUM($D275:K275)-SUM(Demand!$B24:I24)+SUM($D268:K268)-SUM(Demand!$B17:$B18:'Demand'!I17:I18)-SUM($D278:K278)</f>
        <v>195320.07237413252</v>
      </c>
      <c r="L119" s="93">
        <f>'Stations Data'!$J$19+SUM($D270:L270)*'Stations Data'!$E13-SUM($D265:L265)-SUM($D271:L271)-SUM($D272:L272)-SUM($D274:L274)-SUM($D275:L275)-SUM(Demand!$B24:J24)+SUM($D268:L268)-SUM(Demand!$B17:$B18:'Demand'!J17:J18)-SUM($D278:L278)</f>
        <v>196992.39467669377</v>
      </c>
      <c r="M119" s="93">
        <f>'Stations Data'!$J$19+SUM($D270:M270)*'Stations Data'!$E13-SUM($D265:M265)-SUM($D271:M271)-SUM($D272:M272)-SUM($D274:M274)-SUM($D275:M275)-SUM(Demand!$B24:K24)+SUM($D268:M268)-SUM(Demand!$B17:$B18:'Demand'!K17:K18)-SUM($D278:M278)</f>
        <v>190490.70613736127</v>
      </c>
      <c r="N119" s="93">
        <f>'Stations Data'!$J$19+SUM($D270:N270)*'Stations Data'!$E13-SUM($D265:N265)-SUM($D271:N271)-SUM($D272:N272)-SUM($D274:N274)-SUM($D275:N275)-SUM(Demand!$B24:L24)+SUM($D268:N268)-SUM(Demand!$B17:$B18:'Demand'!L17:L18)-SUM($D278:N278)</f>
        <v>201629.4740119272</v>
      </c>
      <c r="O119" s="93">
        <f>'Stations Data'!$J$19+SUM($D270:O270)*'Stations Data'!$E13-SUM($D265:O265)-SUM($D271:O271)-SUM($D272:O272)-SUM($D274:O274)-SUM($D275:O275)-SUM(Demand!$B24:M24)+SUM($D268:O268)-SUM(Demand!$B17:$B18:'Demand'!M17:M18)-SUM($D278:O278)</f>
        <v>203041.14537273953</v>
      </c>
      <c r="P119" s="93">
        <f>'Stations Data'!$J$19+SUM($D270:P270)*'Stations Data'!$E13-SUM($D265:P265)-SUM($D271:P271)-SUM($D272:P272)-SUM($D274:P274)-SUM($D275:P275)-SUM(Demand!$B24:N24)+SUM($D268:P268)-SUM(Demand!$B17:$B18:'Demand'!N17:N18)-SUM($D278:P278)</f>
        <v>204761.71917506121</v>
      </c>
      <c r="Q119" s="93">
        <f>'Stations Data'!$J$19+SUM($D270:Q270)*'Stations Data'!$E13-SUM($D265:Q265)-SUM($D271:Q271)-SUM($D272:Q272)-SUM($D274:Q274)-SUM($D275:Q275)-SUM(Demand!$B24:O24)+SUM($D268:Q268)-SUM(Demand!$B17:$B18:'Demand'!O17:O18)-SUM($D278:Q278)</f>
        <v>202789.66445278414</v>
      </c>
      <c r="R119" s="93">
        <f>'Stations Data'!$J$19+SUM($D270:R270)*'Stations Data'!$E13-SUM($D265:R265)-SUM($D271:R271)-SUM($D272:R272)-SUM($D274:R274)-SUM($D275:R275)-SUM(Demand!$B24:P24)+SUM($D268:R268)-SUM(Demand!$B17:$B18:'Demand'!P17:P18)-SUM($D278:R278)</f>
        <v>203317.49234085443</v>
      </c>
      <c r="S119" s="93">
        <f>'Stations Data'!$J$19+SUM($D270:S270)*'Stations Data'!$E13-SUM($D265:S265)-SUM($D271:S271)-SUM($D272:S272)-SUM($D274:S274)-SUM($D275:S275)-SUM(Demand!$B24:Q24)+SUM($D268:S268)-SUM(Demand!$B17:$B18:'Demand'!Q17:Q18)-SUM($D278:S278)</f>
        <v>198625.2159944966</v>
      </c>
      <c r="T119" s="93">
        <f>'Stations Data'!$J$19+SUM($D270:T270)*'Stations Data'!$E13-SUM($D265:T265)-SUM($D271:T271)-SUM($D272:T272)-SUM($D274:T274)-SUM($D275:T275)-SUM(Demand!$B24:R24)+SUM($D268:T268)-SUM(Demand!$B17:$B18:'Demand'!R17:R18)-SUM($D278:T278)</f>
        <v>193129.51427717909</v>
      </c>
      <c r="U119" s="93">
        <f>'Stations Data'!$J$19+SUM($D270:U270)*'Stations Data'!$E13-SUM($D265:U265)-SUM($D271:U271)-SUM($D272:U272)-SUM($D274:U274)-SUM($D275:U275)-SUM(Demand!$B24:S24)+SUM($D268:U268)-SUM(Demand!$B17:$B18:'Demand'!S17:S18)-SUM($D278:U278)</f>
        <v>190113.61232073826</v>
      </c>
      <c r="V119" s="93">
        <f>'Stations Data'!$J$19+SUM($D270:V270)*'Stations Data'!$E13-SUM($D265:V265)-SUM($D271:V271)-SUM($D272:V272)-SUM($D274:V274)-SUM($D275:V275)-SUM(Demand!$B24:T24)+SUM($D268:V268)-SUM(Demand!$B17:$B18:'Demand'!T17:T18)-SUM($D278:V278)</f>
        <v>196536.61153169081</v>
      </c>
      <c r="W119" s="93">
        <f>'Stations Data'!$J$19+SUM($D270:W270)*'Stations Data'!$E13-SUM($D265:W265)-SUM($D271:W271)-SUM($D272:W272)-SUM($D274:W274)-SUM($D275:W275)-SUM(Demand!$B24:U24)+SUM($D268:W268)-SUM(Demand!$B17:$B18:'Demand'!U17:U18)-SUM($D278:W278)</f>
        <v>186721.44310802018</v>
      </c>
      <c r="X119" s="93">
        <f>'Stations Data'!$J$19+SUM($D270:X270)*'Stations Data'!$E13-SUM($D265:X265)-SUM($D271:X271)-SUM($D272:X272)-SUM($D274:X274)-SUM($D275:X275)-SUM(Demand!$B24:V24)+SUM($D268:X268)-SUM(Demand!$B17:$B18:'Demand'!V17:V18)-SUM($D278:X278)</f>
        <v>170767.05082491547</v>
      </c>
      <c r="Y119" s="93">
        <f>'Stations Data'!$J$19+SUM($D270:Y270)*'Stations Data'!$E13-SUM($D265:Y265)-SUM($D271:Y271)-SUM($D272:Y272)-SUM($D274:Y274)-SUM($D275:Y275)-SUM(Demand!$B24:W24)+SUM($D268:Y268)-SUM(Demand!$B17:$B18:'Demand'!W17:W18)-SUM($D278:Y278)</f>
        <v>161153.057474759</v>
      </c>
      <c r="Z119" s="93">
        <f>'Stations Data'!$J$19+SUM($D270:Z270)*'Stations Data'!$E13-SUM($D265:Z265)-SUM($D271:Z271)-SUM($D272:Z272)-SUM($D274:Z274)-SUM($D275:Z275)-SUM(Demand!$B24:X24)+SUM($D268:Z268)-SUM(Demand!$B17:$B18:'Demand'!X17:X18)-SUM($D278:Z278)</f>
        <v>146427.65551623923</v>
      </c>
      <c r="AA119" s="93">
        <f>'Stations Data'!$J$19+SUM($D270:AA270)*'Stations Data'!$E13-SUM($D265:AA265)-SUM($D271:AA271)-SUM($D272:AA272)-SUM($D274:AA274)-SUM($D275:AA275)-SUM(Demand!$B24:Y24)+SUM($D268:AA268)-SUM(Demand!$B17:$B18:'Demand'!Y17:Y18)-SUM($D278:AA278)</f>
        <v>136350.00339999987</v>
      </c>
    </row>
    <row r="120" spans="1:27" x14ac:dyDescent="0.35">
      <c r="A120" s="107"/>
      <c r="B120" s="105"/>
      <c r="C120" s="79" t="s">
        <v>63</v>
      </c>
      <c r="D120" s="93">
        <f t="shared" ref="D120:U120" si="43">D278</f>
        <v>8112.1904000000004</v>
      </c>
      <c r="E120" s="93">
        <f t="shared" si="43"/>
        <v>8112.1904000000004</v>
      </c>
      <c r="F120" s="93">
        <f t="shared" si="43"/>
        <v>8112.1904000000004</v>
      </c>
      <c r="G120" s="93">
        <f t="shared" si="43"/>
        <v>8112.1904000000004</v>
      </c>
      <c r="H120" s="93">
        <f t="shared" si="43"/>
        <v>8112.1904000000004</v>
      </c>
      <c r="I120" s="93">
        <f t="shared" si="43"/>
        <v>8112.1904000000004</v>
      </c>
      <c r="J120" s="93">
        <f t="shared" si="43"/>
        <v>8112.1904000000004</v>
      </c>
      <c r="K120" s="93">
        <f t="shared" si="43"/>
        <v>8112.1904000000004</v>
      </c>
      <c r="L120" s="93">
        <f t="shared" si="43"/>
        <v>8112.1904000000004</v>
      </c>
      <c r="M120" s="93">
        <f t="shared" si="43"/>
        <v>8112.1904000000004</v>
      </c>
      <c r="N120" s="93">
        <f t="shared" si="43"/>
        <v>8112.1904000000004</v>
      </c>
      <c r="O120" s="93">
        <f t="shared" si="43"/>
        <v>8112.1904000000004</v>
      </c>
      <c r="P120" s="93">
        <f t="shared" si="43"/>
        <v>8112.1904000000004</v>
      </c>
      <c r="Q120" s="93">
        <f t="shared" si="43"/>
        <v>7962.3703999999998</v>
      </c>
      <c r="R120" s="93">
        <f t="shared" si="43"/>
        <v>7962.3703999999998</v>
      </c>
      <c r="S120" s="93">
        <f t="shared" si="43"/>
        <v>7962.3703999999998</v>
      </c>
      <c r="T120" s="93">
        <f t="shared" si="43"/>
        <v>7962.3703999999998</v>
      </c>
      <c r="U120" s="93">
        <f t="shared" si="43"/>
        <v>7962.3703999999998</v>
      </c>
      <c r="V120" s="93">
        <f t="shared" ref="V120:AA120" si="44">V278</f>
        <v>7962.3703999999998</v>
      </c>
      <c r="W120" s="93">
        <f t="shared" si="44"/>
        <v>14812.55</v>
      </c>
      <c r="X120" s="93">
        <f t="shared" si="44"/>
        <v>14812.55</v>
      </c>
      <c r="Y120" s="93">
        <f t="shared" si="44"/>
        <v>14812.55</v>
      </c>
      <c r="Z120" s="93">
        <f t="shared" si="44"/>
        <v>14812.55</v>
      </c>
      <c r="AA120" s="93">
        <f t="shared" si="44"/>
        <v>14812.55</v>
      </c>
    </row>
    <row r="121" spans="1:27" x14ac:dyDescent="0.35">
      <c r="A121" s="107"/>
      <c r="B121" s="105"/>
      <c r="C121" s="79" t="s">
        <v>8</v>
      </c>
      <c r="D121" s="95">
        <f>SUM(D120:AA120)/4545</f>
        <v>50.009999471947197</v>
      </c>
      <c r="F121" s="93" t="s">
        <v>5</v>
      </c>
      <c r="I121" s="95">
        <f>'Stations Data'!B19*SUM('Total network optimization'!D278:AA278)</f>
        <v>109995.49508887368</v>
      </c>
      <c r="K121" s="93" t="s">
        <v>6</v>
      </c>
      <c r="M121" s="95">
        <f>SUMPRODUCT(D108:AA108,D278:AA278)</f>
        <v>21999.099017774744</v>
      </c>
      <c r="Q121" s="96" t="s">
        <v>29</v>
      </c>
      <c r="S121" s="93">
        <f>AA119-'Stations Data'!L19</f>
        <v>3.3999998704530299E-3</v>
      </c>
    </row>
    <row r="122" spans="1:27" x14ac:dyDescent="0.35">
      <c r="A122" s="107" t="s">
        <v>187</v>
      </c>
      <c r="B122" s="107"/>
      <c r="C122" s="79" t="s">
        <v>45</v>
      </c>
      <c r="D122" s="93">
        <f>SUM($D278:D278)-SUM(Demand!$B26:$B27:'Demand'!B26:B27)</f>
        <v>1588.1274698646876</v>
      </c>
      <c r="E122" s="93">
        <f>SUM($D278:E278)-SUM(Demand!$B26:$B27:'Demand'!C26:C27)</f>
        <v>3685.296538705461</v>
      </c>
      <c r="F122" s="93">
        <f>SUM($D278:F278)-SUM(Demand!$B26:$B27:'Demand'!D26:D27)</f>
        <v>6048.109771434807</v>
      </c>
      <c r="G122" s="93">
        <f>SUM($D278:G278)-SUM(Demand!$B26:$B27:'Demand'!E26:E27)</f>
        <v>8911.346032512025</v>
      </c>
      <c r="H122" s="93">
        <f>SUM($D278:H278)-SUM(Demand!$B26:$B27:'Demand'!F26:F27)</f>
        <v>11631.388494625553</v>
      </c>
      <c r="I122" s="93">
        <f>SUM($D278:I278)-SUM(Demand!$B26:$B27:'Demand'!G26:G27)</f>
        <v>14325.274048074891</v>
      </c>
      <c r="J122" s="93">
        <f>SUM($D278:J278)-SUM(Demand!$B26:$B27:'Demand'!H26:H27)</f>
        <v>15377.34259231497</v>
      </c>
      <c r="K122" s="93">
        <f>SUM($D278:K278)-SUM(Demand!$B26:$B27:'Demand'!I26:I27)</f>
        <v>12978.704053919471</v>
      </c>
      <c r="L122" s="93">
        <f>SUM($D278:L278)-SUM(Demand!$B26:$B27:'Demand'!J26:J27)</f>
        <v>8144.6070881966079</v>
      </c>
      <c r="M122" s="93">
        <f>SUM($D278:M278)-SUM(Demand!$B26:$B27:'Demand'!K26:K27)</f>
        <v>2950.3267638060206</v>
      </c>
      <c r="N122" s="93">
        <f>SUM($D278:N278)-SUM(Demand!$B26:$B27:'Demand'!L26:L27)</f>
        <v>-2191.8858824502531</v>
      </c>
      <c r="O122" s="93">
        <f>SUM($D278:O278)-SUM(Demand!$B26:$B27:'Demand'!M26:M27)</f>
        <v>-6804.2609436597122</v>
      </c>
      <c r="P122" s="93">
        <f>SUM($D278:P278)-SUM(Demand!$B26:$B27:'Demand'!N26:N27)</f>
        <v>-11025.659025323141</v>
      </c>
      <c r="Q122" s="93">
        <f>SUM($D278:Q278)-SUM(Demand!$B26:$B27:'Demand'!O26:O27)</f>
        <v>-15052.315249461375</v>
      </c>
      <c r="R122" s="93">
        <f>SUM($D278:R278)-SUM(Demand!$B26:$B27:'Demand'!P26:P27)</f>
        <v>-19227.136607069828</v>
      </c>
      <c r="S122" s="93">
        <f>SUM($D278:S278)-SUM(Demand!$B26:$B27:'Demand'!Q26:Q27)</f>
        <v>-23401.957964678295</v>
      </c>
      <c r="T122" s="93">
        <f>SUM($D278:T278)-SUM(Demand!$B26:$B27:'Demand'!R26:R27)</f>
        <v>-25936.53496441897</v>
      </c>
      <c r="U122" s="93">
        <f>SUM($D278:U278)-SUM(Demand!$B26:$B27:'Demand'!S26:S27)</f>
        <v>-29277.401627617714</v>
      </c>
      <c r="V122" s="93">
        <f>SUM($D278:V278)-SUM(Demand!$B26:$B27:'Demand'!T26:T27)</f>
        <v>-32036.133601197682</v>
      </c>
      <c r="W122" s="93">
        <f>SUM($D278:W278)-SUM(Demand!$B26:$B27:'Demand'!U26:U27)</f>
        <v>-27053.804613078828</v>
      </c>
      <c r="X122" s="93">
        <f>SUM($D278:X278)-SUM(Demand!$B26:$B27:'Demand'!V26:V27)</f>
        <v>-20971.542144369305</v>
      </c>
      <c r="Y122" s="93">
        <f>SUM($D278:Y278)-SUM(Demand!$B26:$B27:'Demand'!W26:W27)</f>
        <v>-14485.12624131926</v>
      </c>
      <c r="Z122" s="93">
        <f>SUM($D278:Z278)-SUM(Demand!$B26:$B27:'Demand'!X26:X27)</f>
        <v>-7584.9918459804321</v>
      </c>
      <c r="AA122" s="93">
        <f>SUM($D278:AA278)-SUM(Demand!$B26:$B27:'Demand'!Y26:Y27)</f>
        <v>-2.4000000557862222E-3</v>
      </c>
    </row>
    <row r="123" spans="1:27" x14ac:dyDescent="0.35">
      <c r="A123" s="107"/>
      <c r="B123" s="107"/>
      <c r="C123" s="79" t="s">
        <v>46</v>
      </c>
      <c r="D123" s="93">
        <f>'Stations Data'!$H$20-'Stations Data'!$J$20</f>
        <v>-46396.875000000015</v>
      </c>
      <c r="E123" s="93">
        <f>'Stations Data'!$H$20-'Stations Data'!$J$20</f>
        <v>-46396.875000000015</v>
      </c>
      <c r="F123" s="93">
        <f>'Stations Data'!$H$20-'Stations Data'!$J$20</f>
        <v>-46396.875000000015</v>
      </c>
      <c r="G123" s="93">
        <f>'Stations Data'!$H$20-'Stations Data'!$J$20</f>
        <v>-46396.875000000015</v>
      </c>
      <c r="H123" s="93">
        <f>'Stations Data'!$H$20-'Stations Data'!$J$20</f>
        <v>-46396.875000000015</v>
      </c>
      <c r="I123" s="93">
        <f>'Stations Data'!$H$20-'Stations Data'!$J$20</f>
        <v>-46396.875000000015</v>
      </c>
      <c r="J123" s="93">
        <f>'Stations Data'!$H$20-'Stations Data'!$J$20</f>
        <v>-46396.875000000015</v>
      </c>
      <c r="K123" s="93">
        <f>'Stations Data'!$H$20-'Stations Data'!$J$20</f>
        <v>-46396.875000000015</v>
      </c>
      <c r="L123" s="93">
        <f>'Stations Data'!$H$20-'Stations Data'!$J$20</f>
        <v>-46396.875000000015</v>
      </c>
      <c r="M123" s="93">
        <f>'Stations Data'!$H$20-'Stations Data'!$J$20</f>
        <v>-46396.875000000015</v>
      </c>
      <c r="N123" s="93">
        <f>'Stations Data'!$H$20-'Stations Data'!$J$20</f>
        <v>-46396.875000000015</v>
      </c>
      <c r="O123" s="93">
        <f>'Stations Data'!$H$20-'Stations Data'!$J$20</f>
        <v>-46396.875000000015</v>
      </c>
      <c r="P123" s="93">
        <f>'Stations Data'!$H$20-'Stations Data'!$J$20</f>
        <v>-46396.875000000015</v>
      </c>
      <c r="Q123" s="93">
        <f>'Stations Data'!$H$20-'Stations Data'!$J$20</f>
        <v>-46396.875000000015</v>
      </c>
      <c r="R123" s="93">
        <f>'Stations Data'!$H$20-'Stations Data'!$J$20</f>
        <v>-46396.875000000015</v>
      </c>
      <c r="S123" s="93">
        <f>'Stations Data'!$H$20-'Stations Data'!$J$20</f>
        <v>-46396.875000000015</v>
      </c>
      <c r="T123" s="93">
        <f>'Stations Data'!$H$20-'Stations Data'!$J$20</f>
        <v>-46396.875000000015</v>
      </c>
      <c r="U123" s="93">
        <f>'Stations Data'!$H$20-'Stations Data'!$J$20</f>
        <v>-46396.875000000015</v>
      </c>
      <c r="V123" s="93">
        <f>'Stations Data'!$H$20-'Stations Data'!$J$20</f>
        <v>-46396.875000000015</v>
      </c>
      <c r="W123" s="93">
        <f>'Stations Data'!$H$20-'Stations Data'!$J$20</f>
        <v>-46396.875000000015</v>
      </c>
      <c r="X123" s="93">
        <f>'Stations Data'!$H$20-'Stations Data'!$J$20</f>
        <v>-46396.875000000015</v>
      </c>
      <c r="Y123" s="93">
        <f>'Stations Data'!$H$20-'Stations Data'!$J$20</f>
        <v>-46396.875000000015</v>
      </c>
      <c r="Z123" s="93">
        <f>'Stations Data'!$H$20-'Stations Data'!$J$20</f>
        <v>-46396.875000000015</v>
      </c>
      <c r="AA123" s="93">
        <f>'Stations Data'!$L$20-'Stations Data'!$J$20</f>
        <v>0</v>
      </c>
    </row>
    <row r="124" spans="1:27" x14ac:dyDescent="0.35">
      <c r="A124" s="107"/>
      <c r="B124" s="107"/>
      <c r="C124" s="79" t="s">
        <v>47</v>
      </c>
      <c r="D124" s="93">
        <f>'Stations Data'!$N$20-'Stations Data'!$J$20</f>
        <v>68411.71875</v>
      </c>
      <c r="E124" s="93">
        <f>'Stations Data'!$N$20-'Stations Data'!$J$20</f>
        <v>68411.71875</v>
      </c>
      <c r="F124" s="93">
        <f>'Stations Data'!$N$20-'Stations Data'!$J$20</f>
        <v>68411.71875</v>
      </c>
      <c r="G124" s="93">
        <f>'Stations Data'!$N$20-'Stations Data'!$J$20</f>
        <v>68411.71875</v>
      </c>
      <c r="H124" s="93">
        <f>'Stations Data'!$N$20-'Stations Data'!$J$20</f>
        <v>68411.71875</v>
      </c>
      <c r="I124" s="93">
        <f>'Stations Data'!$N$20-'Stations Data'!$J$20</f>
        <v>68411.71875</v>
      </c>
      <c r="J124" s="93">
        <f>'Stations Data'!$N$20-'Stations Data'!$J$20</f>
        <v>68411.71875</v>
      </c>
      <c r="K124" s="93">
        <f>'Stations Data'!$N$20-'Stations Data'!$J$20</f>
        <v>68411.71875</v>
      </c>
      <c r="L124" s="93">
        <f>'Stations Data'!$N$20-'Stations Data'!$J$20</f>
        <v>68411.71875</v>
      </c>
      <c r="M124" s="93">
        <f>'Stations Data'!$N$20-'Stations Data'!$J$20</f>
        <v>68411.71875</v>
      </c>
      <c r="N124" s="93">
        <f>'Stations Data'!$N$20-'Stations Data'!$J$20</f>
        <v>68411.71875</v>
      </c>
      <c r="O124" s="93">
        <f>'Stations Data'!$N$20-'Stations Data'!$J$20</f>
        <v>68411.71875</v>
      </c>
      <c r="P124" s="93">
        <f>'Stations Data'!$N$20-'Stations Data'!$J$20</f>
        <v>68411.71875</v>
      </c>
      <c r="Q124" s="93">
        <f>'Stations Data'!$N$20-'Stations Data'!$J$20</f>
        <v>68411.71875</v>
      </c>
      <c r="R124" s="93">
        <f>'Stations Data'!$N$20-'Stations Data'!$J$20</f>
        <v>68411.71875</v>
      </c>
      <c r="S124" s="93">
        <f>'Stations Data'!$N$20-'Stations Data'!$J$20</f>
        <v>68411.71875</v>
      </c>
      <c r="T124" s="93">
        <f>'Stations Data'!$N$20-'Stations Data'!$J$20</f>
        <v>68411.71875</v>
      </c>
      <c r="U124" s="93">
        <f>'Stations Data'!$N$20-'Stations Data'!$J$20</f>
        <v>68411.71875</v>
      </c>
      <c r="V124" s="93">
        <f>'Stations Data'!$N$20-'Stations Data'!$J$20</f>
        <v>68411.71875</v>
      </c>
      <c r="W124" s="93">
        <f>'Stations Data'!$N$20-'Stations Data'!$J$20</f>
        <v>68411.71875</v>
      </c>
      <c r="X124" s="93">
        <f>'Stations Data'!$N$20-'Stations Data'!$J$20</f>
        <v>68411.71875</v>
      </c>
      <c r="Y124" s="93">
        <f>'Stations Data'!$N$20-'Stations Data'!$J$20</f>
        <v>68411.71875</v>
      </c>
      <c r="Z124" s="93">
        <f>'Stations Data'!$N$20-'Stations Data'!$J$20</f>
        <v>68411.71875</v>
      </c>
      <c r="AA124" s="93">
        <f>'Stations Data'!$N$20-'Stations Data'!$J$20</f>
        <v>68411.71875</v>
      </c>
    </row>
    <row r="125" spans="1:27" x14ac:dyDescent="0.35">
      <c r="A125" s="107"/>
      <c r="B125" s="107"/>
      <c r="C125" s="79" t="s">
        <v>64</v>
      </c>
      <c r="D125" s="93">
        <f>D278-Demand!B26</f>
        <v>2859.3836443531827</v>
      </c>
      <c r="E125" s="93">
        <f>E278-Demand!C26</f>
        <v>3330.9250611909647</v>
      </c>
      <c r="F125" s="93">
        <f>F278-Demand!D26</f>
        <v>3677.8196197125262</v>
      </c>
      <c r="G125" s="93">
        <f>G278-Demand!E26</f>
        <v>4028.241919507187</v>
      </c>
      <c r="H125" s="93">
        <f>H278-Demand!F26</f>
        <v>3940.0483876796716</v>
      </c>
      <c r="I125" s="93">
        <f>I278-Demand!G26</f>
        <v>3898.8914061601645</v>
      </c>
      <c r="J125" s="93">
        <f>J278-Demand!H26</f>
        <v>2300.8246094455844</v>
      </c>
      <c r="K125" s="93">
        <f>K278-Demand!I26</f>
        <v>-406.12886078028805</v>
      </c>
      <c r="L125" s="93">
        <f>L278-Demand!J26</f>
        <v>-2700.3366020533895</v>
      </c>
      <c r="M125" s="93">
        <f>M278-Demand!K26</f>
        <v>-2935.5193535934295</v>
      </c>
      <c r="N125" s="93">
        <f>N278-Demand!L26</f>
        <v>-3107.2027622176583</v>
      </c>
      <c r="O125" s="93">
        <f>O278-Demand!M26</f>
        <v>-2608.6153289527729</v>
      </c>
      <c r="P125" s="93">
        <f>P278-Demand!N26</f>
        <v>-2187.6382036960977</v>
      </c>
      <c r="Q125" s="93">
        <f>Q278-Demand!O26</f>
        <v>-2032.8965404517476</v>
      </c>
      <c r="R125" s="93">
        <f>R278-Demand!P26</f>
        <v>-2181.0616739219731</v>
      </c>
      <c r="S125" s="93">
        <f>S278-Demand!Q26</f>
        <v>-2181.0616739219731</v>
      </c>
      <c r="T125" s="93">
        <f>T278-Demand!R26</f>
        <v>-677.06797782340982</v>
      </c>
      <c r="U125" s="93">
        <f>U278-Demand!S26</f>
        <v>-1370.8570948665292</v>
      </c>
      <c r="V125" s="93">
        <f>V278-Demand!T26</f>
        <v>-908.72298809034874</v>
      </c>
      <c r="W125" s="93">
        <f>W278-Demand!U26</f>
        <v>6721.0874332648855</v>
      </c>
      <c r="X125" s="93">
        <f>X278-Demand!V26</f>
        <v>7793.5207802874729</v>
      </c>
      <c r="Y125" s="93">
        <f>Y278-Demand!W26</f>
        <v>8183.9241478439417</v>
      </c>
      <c r="Z125" s="93">
        <f>Z278-Demand!X26</f>
        <v>8561.3924640657078</v>
      </c>
      <c r="AA125" s="93">
        <f>AA278-Demand!Y26</f>
        <v>9178.7471868583161</v>
      </c>
    </row>
    <row r="126" spans="1:27" x14ac:dyDescent="0.35">
      <c r="A126" s="107"/>
      <c r="B126" s="107"/>
      <c r="C126" s="79" t="s">
        <v>60</v>
      </c>
      <c r="D126" s="96">
        <f>'Stations Data'!$F20</f>
        <v>-12000</v>
      </c>
      <c r="E126" s="96">
        <f>'Stations Data'!$F20</f>
        <v>-12000</v>
      </c>
      <c r="F126" s="96">
        <f>'Stations Data'!$F20</f>
        <v>-12000</v>
      </c>
      <c r="G126" s="96">
        <f>'Stations Data'!$F20</f>
        <v>-12000</v>
      </c>
      <c r="H126" s="96">
        <f>'Stations Data'!$F20</f>
        <v>-12000</v>
      </c>
      <c r="I126" s="96">
        <f>'Stations Data'!$F20</f>
        <v>-12000</v>
      </c>
      <c r="J126" s="96">
        <f>'Stations Data'!$F20</f>
        <v>-12000</v>
      </c>
      <c r="K126" s="96">
        <f>'Stations Data'!$F20</f>
        <v>-12000</v>
      </c>
      <c r="L126" s="96">
        <f>'Stations Data'!$F20</f>
        <v>-12000</v>
      </c>
      <c r="M126" s="96">
        <f>'Stations Data'!$F20</f>
        <v>-12000</v>
      </c>
      <c r="N126" s="96">
        <f>'Stations Data'!$F20</f>
        <v>-12000</v>
      </c>
      <c r="O126" s="96">
        <f>'Stations Data'!$F20</f>
        <v>-12000</v>
      </c>
      <c r="P126" s="96">
        <f>'Stations Data'!$F20</f>
        <v>-12000</v>
      </c>
      <c r="Q126" s="96">
        <f>'Stations Data'!$F20</f>
        <v>-12000</v>
      </c>
      <c r="R126" s="96">
        <f>'Stations Data'!$F20</f>
        <v>-12000</v>
      </c>
      <c r="S126" s="96">
        <f>'Stations Data'!$F20</f>
        <v>-12000</v>
      </c>
      <c r="T126" s="96">
        <f>'Stations Data'!$F20</f>
        <v>-12000</v>
      </c>
      <c r="U126" s="96">
        <f>'Stations Data'!$F20</f>
        <v>-12000</v>
      </c>
      <c r="V126" s="96">
        <f>'Stations Data'!$F20</f>
        <v>-12000</v>
      </c>
      <c r="W126" s="96">
        <f>'Stations Data'!$F20</f>
        <v>-12000</v>
      </c>
      <c r="X126" s="96">
        <f>'Stations Data'!$F20</f>
        <v>-12000</v>
      </c>
      <c r="Y126" s="96">
        <f>'Stations Data'!$F20</f>
        <v>-12000</v>
      </c>
      <c r="Z126" s="96">
        <f>'Stations Data'!$F20</f>
        <v>-12000</v>
      </c>
      <c r="AA126" s="96">
        <f>'Stations Data'!$F20</f>
        <v>-12000</v>
      </c>
    </row>
    <row r="127" spans="1:27" x14ac:dyDescent="0.35">
      <c r="A127" s="107"/>
      <c r="B127" s="107"/>
      <c r="C127" s="79" t="s">
        <v>48</v>
      </c>
      <c r="D127" s="93">
        <f>'Stations Data'!$J$20+SUM($D278:D278)-SUM(Demand!$B26:$B27:'Demand'!B26:B27)</f>
        <v>137938.12746986467</v>
      </c>
      <c r="E127" s="93">
        <f>'Stations Data'!$J$20+SUM($D278:E278)-SUM(Demand!$B26:$B27:'Demand'!C26:C27)</f>
        <v>140035.29653870547</v>
      </c>
      <c r="F127" s="93">
        <f>'Stations Data'!$J$20+SUM($D278:F278)-SUM(Demand!$B26:$B27:'Demand'!D26:D27)</f>
        <v>142398.1097714348</v>
      </c>
      <c r="G127" s="93">
        <f>'Stations Data'!$J$20+SUM($D278:G278)-SUM(Demand!$B26:$B27:'Demand'!E26:E27)</f>
        <v>145261.34603251202</v>
      </c>
      <c r="H127" s="93">
        <f>'Stations Data'!$J$20+SUM($D278:H278)-SUM(Demand!$B26:$B27:'Demand'!F26:F27)</f>
        <v>147981.38849462554</v>
      </c>
      <c r="I127" s="93">
        <f>'Stations Data'!$J$20+SUM($D278:I278)-SUM(Demand!$B26:$B27:'Demand'!G26:G27)</f>
        <v>150675.27404807491</v>
      </c>
      <c r="J127" s="93">
        <f>'Stations Data'!$J$20+SUM($D278:J278)-SUM(Demand!$B26:$B27:'Demand'!H26:H27)</f>
        <v>151727.34259231496</v>
      </c>
      <c r="K127" s="93">
        <f>'Stations Data'!$J$20+SUM($D278:K278)-SUM(Demand!$B26:$B27:'Demand'!I26:I27)</f>
        <v>149328.70405391947</v>
      </c>
      <c r="L127" s="93">
        <f>'Stations Data'!$J$20+SUM($D278:L278)-SUM(Demand!$B26:$B27:'Demand'!J26:J27)</f>
        <v>144494.60708819662</v>
      </c>
      <c r="M127" s="93">
        <f>'Stations Data'!$J$20+SUM($D278:M278)-SUM(Demand!$B26:$B27:'Demand'!K26:K27)</f>
        <v>139300.32676380602</v>
      </c>
      <c r="N127" s="93">
        <f>'Stations Data'!$J$20+SUM($D278:N278)-SUM(Demand!$B26:$B27:'Demand'!L26:L27)</f>
        <v>134158.11411754973</v>
      </c>
      <c r="O127" s="93">
        <f>'Stations Data'!$J$20+SUM($D278:O278)-SUM(Demand!$B26:$B27:'Demand'!M26:M27)</f>
        <v>129545.73905634029</v>
      </c>
      <c r="P127" s="93">
        <f>'Stations Data'!$J$20+SUM($D278:P278)-SUM(Demand!$B26:$B27:'Demand'!N26:N27)</f>
        <v>125324.34097467687</v>
      </c>
      <c r="Q127" s="93">
        <f>'Stations Data'!$J$20+SUM($D278:Q278)-SUM(Demand!$B26:$B27:'Demand'!O26:O27)</f>
        <v>121297.68475053862</v>
      </c>
      <c r="R127" s="93">
        <f>'Stations Data'!$J$20+SUM($D278:R278)-SUM(Demand!$B26:$B27:'Demand'!P26:P27)</f>
        <v>117122.86339293016</v>
      </c>
      <c r="S127" s="93">
        <f>'Stations Data'!$J$20+SUM($D278:S278)-SUM(Demand!$B26:$B27:'Demand'!Q26:Q27)</f>
        <v>112948.04203532171</v>
      </c>
      <c r="T127" s="93">
        <f>'Stations Data'!$J$20+SUM($D278:T278)-SUM(Demand!$B26:$B27:'Demand'!R26:R27)</f>
        <v>110413.46503558103</v>
      </c>
      <c r="U127" s="93">
        <f>'Stations Data'!$J$20+SUM($D278:U278)-SUM(Demand!$B26:$B27:'Demand'!S26:S27)</f>
        <v>107072.59837238229</v>
      </c>
      <c r="V127" s="93">
        <f>'Stations Data'!$J$20+SUM($D278:V278)-SUM(Demand!$B26:$B27:'Demand'!T26:T27)</f>
        <v>104313.86639880232</v>
      </c>
      <c r="W127" s="93">
        <f>'Stations Data'!$J$20+SUM($D278:W278)-SUM(Demand!$B26:$B27:'Demand'!U26:U27)</f>
        <v>109296.19538692117</v>
      </c>
      <c r="X127" s="93">
        <f>'Stations Data'!$J$20+SUM($D278:X278)-SUM(Demand!$B26:$B27:'Demand'!V26:V27)</f>
        <v>115378.4578556307</v>
      </c>
      <c r="Y127" s="93">
        <f>'Stations Data'!$J$20+SUM($D278:Y278)-SUM(Demand!$B26:$B27:'Demand'!W26:W27)</f>
        <v>121864.87375868074</v>
      </c>
      <c r="Z127" s="93">
        <f>'Stations Data'!$J$20+SUM($D278:Z278)-SUM(Demand!$B26:$B27:'Demand'!X26:X27)</f>
        <v>128765.00815401957</v>
      </c>
      <c r="AA127" s="93">
        <f>'Stations Data'!$J$20+SUM($D278:AA278)-SUM(Demand!$B26:$B27:'Demand'!Y26:Y27)</f>
        <v>136349.99759999994</v>
      </c>
    </row>
    <row r="128" spans="1:27" x14ac:dyDescent="0.35">
      <c r="A128" s="107"/>
      <c r="B128" s="107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6" t="s">
        <v>29</v>
      </c>
      <c r="S128" s="93">
        <f>AA127-'Stations Data'!L20</f>
        <v>-2.4000000557862222E-3</v>
      </c>
      <c r="T128" s="95"/>
      <c r="U128" s="95"/>
      <c r="V128" s="95"/>
      <c r="W128" s="95"/>
      <c r="X128" s="95"/>
      <c r="Y128" s="95"/>
      <c r="Z128" s="95"/>
      <c r="AA128" s="95"/>
    </row>
    <row r="129" spans="1:27" s="45" customFormat="1" x14ac:dyDescent="0.35">
      <c r="A129" s="105" t="s">
        <v>188</v>
      </c>
      <c r="B129" s="105" t="s">
        <v>189</v>
      </c>
      <c r="C129" s="78" t="s">
        <v>69</v>
      </c>
      <c r="D129" s="92">
        <f>'Stations Data'!$B$22*D2</f>
        <v>0.19127547634854775</v>
      </c>
      <c r="E129" s="92">
        <f>'Stations Data'!$B$22*E2</f>
        <v>0.13596291435684649</v>
      </c>
      <c r="F129" s="92">
        <f>'Stations Data'!$B$22*F2</f>
        <v>0.13596291435684649</v>
      </c>
      <c r="G129" s="92">
        <f>'Stations Data'!$B$22*G2</f>
        <v>0.13596291435684649</v>
      </c>
      <c r="H129" s="92">
        <f>'Stations Data'!$B$22*H2</f>
        <v>0.10516011037344399</v>
      </c>
      <c r="I129" s="92">
        <f>'Stations Data'!$B$22*I2</f>
        <v>0.10516011037344399</v>
      </c>
      <c r="J129" s="92">
        <f>'Stations Data'!$B$22*J2</f>
        <v>0.10516011037344399</v>
      </c>
      <c r="K129" s="92">
        <f>'Stations Data'!$B$22*K2</f>
        <v>0.10201358738589213</v>
      </c>
      <c r="L129" s="92">
        <f>'Stations Data'!$B$22*L2</f>
        <v>0.10201358738589213</v>
      </c>
      <c r="M129" s="92">
        <f>'Stations Data'!$B$22*M2</f>
        <v>0.10201358738589213</v>
      </c>
      <c r="N129" s="92">
        <f>'Stations Data'!$B$22*N2</f>
        <v>0.14639612215767633</v>
      </c>
      <c r="O129" s="92">
        <f>'Stations Data'!$B$22*O2</f>
        <v>0.14639612215767633</v>
      </c>
      <c r="P129" s="92">
        <f>'Stations Data'!$B$22*P2</f>
        <v>0.14639612215767633</v>
      </c>
      <c r="Q129" s="92">
        <f>'Stations Data'!$B$22*Q2</f>
        <v>0.20253671651452285</v>
      </c>
      <c r="R129" s="92">
        <f>'Stations Data'!$B$22*R2</f>
        <v>0.20253671651452285</v>
      </c>
      <c r="S129" s="92">
        <f>'Stations Data'!$B$22*S2</f>
        <v>0.20253671651452285</v>
      </c>
      <c r="T129" s="92">
        <f>'Stations Data'!$B$22*T2</f>
        <v>0.22679806481327805</v>
      </c>
      <c r="U129" s="92">
        <f>'Stations Data'!$B$22*U2</f>
        <v>0.22679806481327805</v>
      </c>
      <c r="V129" s="92">
        <f>'Stations Data'!$B$22*V2</f>
        <v>0.22679806481327805</v>
      </c>
      <c r="W129" s="92">
        <f>'Stations Data'!$B$22*W2</f>
        <v>0.22108464149377596</v>
      </c>
      <c r="X129" s="92">
        <f>'Stations Data'!$B$22*X2</f>
        <v>0.22108464149377596</v>
      </c>
      <c r="Y129" s="92">
        <f>'Stations Data'!$B$22*Y2</f>
        <v>0.22108464149377596</v>
      </c>
      <c r="Z129" s="92">
        <f>'Stations Data'!$B$22*Z2</f>
        <v>0.19127547634854775</v>
      </c>
      <c r="AA129" s="92">
        <f>'Stations Data'!$B$22*AA2</f>
        <v>0.19127547634854775</v>
      </c>
    </row>
    <row r="130" spans="1:27" s="45" customFormat="1" x14ac:dyDescent="0.35">
      <c r="A130" s="105"/>
      <c r="B130" s="105"/>
      <c r="C130" s="79" t="s">
        <v>45</v>
      </c>
      <c r="D130" s="95">
        <f>-SUM($D139:D139)</f>
        <v>-33500</v>
      </c>
      <c r="E130" s="95">
        <f>-SUM($D139:E139)</f>
        <v>-67000</v>
      </c>
      <c r="F130" s="95">
        <f>-SUM($D139:F139)</f>
        <v>-100500</v>
      </c>
      <c r="G130" s="95">
        <f>-SUM($D139:G139)</f>
        <v>-134000</v>
      </c>
      <c r="H130" s="95">
        <f>-SUM($D139:H139)</f>
        <v>-167500</v>
      </c>
      <c r="I130" s="95">
        <f>-SUM($D139:I139)</f>
        <v>-201000</v>
      </c>
      <c r="J130" s="95">
        <f>-SUM($D139:J139)</f>
        <v>-234500</v>
      </c>
      <c r="K130" s="95">
        <f>-SUM($D139:K139)</f>
        <v>-268000</v>
      </c>
      <c r="L130" s="95">
        <f>-SUM($D139:L139)</f>
        <v>-301500</v>
      </c>
      <c r="M130" s="95">
        <f>-SUM($D139:M139)</f>
        <v>-335000</v>
      </c>
      <c r="N130" s="95">
        <f>-SUM($D139:N139)</f>
        <v>-368500</v>
      </c>
      <c r="O130" s="95">
        <f>-SUM($D139:O139)</f>
        <v>-402000</v>
      </c>
      <c r="P130" s="95">
        <f>-SUM($D139:P139)</f>
        <v>-435500</v>
      </c>
      <c r="Q130" s="95">
        <f>-SUM($D139:Q139)</f>
        <v>-469000</v>
      </c>
      <c r="R130" s="95">
        <f>-SUM($D139:R139)</f>
        <v>-502500</v>
      </c>
      <c r="S130" s="95">
        <f>-SUM($D139:S139)</f>
        <v>-536000</v>
      </c>
      <c r="T130" s="95">
        <f>-SUM($D139:T139)</f>
        <v>-566704.30500000005</v>
      </c>
      <c r="U130" s="95">
        <f>-SUM($D139:U139)</f>
        <v>-597408.6100000001</v>
      </c>
      <c r="V130" s="95">
        <f>-SUM($D139:V139)</f>
        <v>-628112.91500000015</v>
      </c>
      <c r="W130" s="95">
        <f>-SUM($D139:W139)</f>
        <v>-658817.2200000002</v>
      </c>
      <c r="X130" s="95">
        <f>-SUM($D139:X139)</f>
        <v>-689521.52500000026</v>
      </c>
      <c r="Y130" s="95">
        <f>-SUM($D139:Y139)</f>
        <v>-720225.83000000031</v>
      </c>
      <c r="Z130" s="95">
        <f>-SUM($D139:Z139)</f>
        <v>-753134.44000000029</v>
      </c>
      <c r="AA130" s="95">
        <f>-SUM($D139:AA139)</f>
        <v>-786043.05000000028</v>
      </c>
    </row>
    <row r="131" spans="1:27" x14ac:dyDescent="0.35">
      <c r="A131" s="105"/>
      <c r="B131" s="105"/>
      <c r="C131" s="79" t="s">
        <v>46</v>
      </c>
      <c r="D131" s="95">
        <f>'Stations Data'!$H$21-'Stations Data'!$J$21-SUM(Production!$B4:'Production'!B4)+SUM(Demand!$B72:'Demand'!B72)</f>
        <v>-418568.90640683396</v>
      </c>
      <c r="E131" s="95">
        <f>'Stations Data'!$H$21-'Stations Data'!$J$21-SUM(Production!$B4:'Production'!C4)+SUM(Demand!$B72:'Demand'!C72)</f>
        <v>-452366.06393486389</v>
      </c>
      <c r="F131" s="95">
        <f>'Stations Data'!$H$21-'Stations Data'!$J$21-SUM(Production!$B4:'Production'!D4)+SUM(Demand!$B72:'Demand'!D72)</f>
        <v>-486162.40451147896</v>
      </c>
      <c r="G131" s="95">
        <f>'Stations Data'!$H$21-'Stations Data'!$J$21-SUM(Production!$B4:'Production'!E4)+SUM(Demand!$B72:'Demand'!E72)</f>
        <v>-519959.56203950883</v>
      </c>
      <c r="H131" s="95">
        <f>'Stations Data'!$H$21-'Stations Data'!$J$21-SUM(Production!$B4:'Production'!F4)+SUM(Demand!$B72:'Demand'!F72)</f>
        <v>-553756.71956753882</v>
      </c>
      <c r="I131" s="95">
        <f>'Stations Data'!$H$21-'Stations Data'!$J$21-SUM(Production!$B4:'Production'!G4)+SUM(Demand!$B72:'Demand'!G72)</f>
        <v>-587554.6940469835</v>
      </c>
      <c r="J131" s="95">
        <f>'Stations Data'!$H$21-'Stations Data'!$J$21-SUM(Production!$B4:'Production'!H4)+SUM(Demand!$B72:'Demand'!H72)</f>
        <v>-621352.66852642829</v>
      </c>
      <c r="K131" s="95">
        <f>'Stations Data'!$H$21-'Stations Data'!$J$21-SUM(Production!$B4:'Production'!I4)+SUM(Demand!$B72:'Demand'!I72)</f>
        <v>-654171.11825947685</v>
      </c>
      <c r="L131" s="95">
        <f>'Stations Data'!$H$21-'Stations Data'!$J$21-SUM(Production!$B4:'Production'!J4)+SUM(Demand!$B72:'Demand'!J72)</f>
        <v>-686988.75104111061</v>
      </c>
      <c r="M131" s="95">
        <f>'Stations Data'!$H$21-'Stations Data'!$J$21-SUM(Production!$B4:'Production'!K4)+SUM(Demand!$B72:'Demand'!K72)</f>
        <v>-719903.60104111058</v>
      </c>
      <c r="N131" s="95">
        <f>'Stations Data'!$H$21-'Stations Data'!$J$21-SUM(Production!$B4:'Production'!L4)+SUM(Demand!$B72:'Demand'!L72)</f>
        <v>-752818.45104111056</v>
      </c>
      <c r="O131" s="95">
        <f>'Stations Data'!$H$21-'Stations Data'!$J$21-SUM(Production!$B4:'Production'!M4)+SUM(Demand!$B72:'Demand'!M72)</f>
        <v>-785732.48408969573</v>
      </c>
      <c r="P131" s="95">
        <f>'Stations Data'!$H$21-'Stations Data'!$J$21-SUM(Production!$B4:'Production'!N4)+SUM(Demand!$B72:'Demand'!N72)</f>
        <v>-818648.15104111063</v>
      </c>
      <c r="Q131" s="95">
        <f>'Stations Data'!$H$21-'Stations Data'!$J$21-SUM(Production!$B4:'Production'!O4)+SUM(Demand!$B72:'Demand'!O72)</f>
        <v>-851661.85216230655</v>
      </c>
      <c r="R131" s="95">
        <f>'Stations Data'!$H$21-'Stations Data'!$J$21-SUM(Production!$B4:'Production'!P4)+SUM(Demand!$B72:'Demand'!P72)</f>
        <v>-884381.45077415917</v>
      </c>
      <c r="S131" s="95">
        <f>'Stations Data'!$H$21-'Stations Data'!$J$21-SUM(Production!$B4:'Production'!Q4)+SUM(Demand!$B72:'Demand'!Q72)</f>
        <v>-917100.23243459698</v>
      </c>
      <c r="T131" s="95">
        <f>'Stations Data'!$H$21-'Stations Data'!$J$21-SUM(Production!$B4:'Production'!R4)+SUM(Demand!$B72:'Demand'!R72)</f>
        <v>-949818.19714362</v>
      </c>
      <c r="U131" s="95">
        <f>'Stations Data'!$H$21-'Stations Data'!$J$21-SUM(Production!$B4:'Production'!S4)+SUM(Demand!$B72:'Demand'!S72)</f>
        <v>-982531.26014415384</v>
      </c>
      <c r="V131" s="95">
        <f>'Stations Data'!$H$21-'Stations Data'!$J$21-SUM(Production!$B4:'Production'!T4)+SUM(Demand!$B72:'Demand'!T72)</f>
        <v>-1015538.4256540311</v>
      </c>
      <c r="W131" s="95">
        <f>'Stations Data'!$H$21-'Stations Data'!$J$21-SUM(Production!$B4:'Production'!U4)+SUM(Demand!$B72:'Demand'!U72)</f>
        <v>-1049232.6473037908</v>
      </c>
      <c r="X131" s="95">
        <f>'Stations Data'!$H$21-'Stations Data'!$J$21-SUM(Production!$B4:'Production'!V4)+SUM(Demand!$B72:'Demand'!V72)</f>
        <v>-1082926.8689535505</v>
      </c>
      <c r="Y131" s="95">
        <f>'Stations Data'!$H$21-'Stations Data'!$J$21-SUM(Production!$B4:'Production'!W4)+SUM(Demand!$B72:'Demand'!W72)</f>
        <v>-1116620.2736518953</v>
      </c>
      <c r="Z131" s="97">
        <f>'Stations Data'!$H$21-'Stations Data'!$J$21-SUM(Production!$B4:'Production'!X4)+SUM(Demand!$B72:'Demand'!X72)</f>
        <v>-1150313.6783502405</v>
      </c>
      <c r="AA131" s="98">
        <f>'Stations Data'!$L$21-'Stations Data'!$J$21-SUM(Production!$B4:'Production'!Y4)+SUM(Demand!$B72:'Demand'!Y72)</f>
        <v>-799137.3</v>
      </c>
    </row>
    <row r="132" spans="1:27" x14ac:dyDescent="0.35">
      <c r="A132" s="105"/>
      <c r="B132" s="105"/>
      <c r="C132" s="79" t="s">
        <v>47</v>
      </c>
      <c r="D132" s="95">
        <f>'Stations Data'!$N$21-'Stations Data'!$J$21-SUM(Production!$B4:'Production'!B4)+SUM(Demand!$B72:'Demand'!B72)</f>
        <v>62519.343593165948</v>
      </c>
      <c r="E132" s="95">
        <f>'Stations Data'!$N$21-'Stations Data'!$J$21-SUM(Production!$B4:'Production'!C4)+SUM(Demand!$B72:'Demand'!C72)</f>
        <v>28722.186065136051</v>
      </c>
      <c r="F132" s="95">
        <f>'Stations Data'!$N$21-'Stations Data'!$J$21-SUM(Production!$B4:'Production'!D4)+SUM(Demand!$B72:'Demand'!D72)</f>
        <v>-5074.1545114790042</v>
      </c>
      <c r="G132" s="95">
        <f>'Stations Data'!$N$21-'Stations Data'!$J$21-SUM(Production!$B4:'Production'!E4)+SUM(Demand!$B72:'Demand'!E72)</f>
        <v>-38871.312039508906</v>
      </c>
      <c r="H132" s="95">
        <f>'Stations Data'!$N$21-'Stations Data'!$J$21-SUM(Production!$B4:'Production'!F4)+SUM(Demand!$B72:'Demand'!F72)</f>
        <v>-72668.469567538807</v>
      </c>
      <c r="I132" s="95">
        <f>'Stations Data'!$N$21-'Stations Data'!$J$21-SUM(Production!$B4:'Production'!G4)+SUM(Demand!$B72:'Demand'!G72)</f>
        <v>-106466.44404698354</v>
      </c>
      <c r="J132" s="95">
        <f>'Stations Data'!$N$21-'Stations Data'!$J$21-SUM(Production!$B4:'Production'!H4)+SUM(Demand!$B72:'Demand'!H72)</f>
        <v>-140264.41852642829</v>
      </c>
      <c r="K132" s="95">
        <f>'Stations Data'!$N$21-'Stations Data'!$J$21-SUM(Production!$B4:'Production'!I4)+SUM(Demand!$B72:'Demand'!I72)</f>
        <v>-173082.86825947688</v>
      </c>
      <c r="L132" s="95">
        <f>'Stations Data'!$N$21-'Stations Data'!$J$21-SUM(Production!$B4:'Production'!J4)+SUM(Demand!$B72:'Demand'!J72)</f>
        <v>-205900.50104111061</v>
      </c>
      <c r="M132" s="95">
        <f>'Stations Data'!$N$21-'Stations Data'!$J$21-SUM(Production!$B4:'Production'!K4)+SUM(Demand!$B72:'Demand'!K72)</f>
        <v>-238815.35104111061</v>
      </c>
      <c r="N132" s="95">
        <f>'Stations Data'!$N$21-'Stations Data'!$J$21-SUM(Production!$B4:'Production'!L4)+SUM(Demand!$B72:'Demand'!L72)</f>
        <v>-271730.20104111062</v>
      </c>
      <c r="O132" s="95">
        <f>'Stations Data'!$N$21-'Stations Data'!$J$21-SUM(Production!$B4:'Production'!M4)+SUM(Demand!$B72:'Demand'!M72)</f>
        <v>-304644.23408969579</v>
      </c>
      <c r="P132" s="95">
        <f>'Stations Data'!$N$21-'Stations Data'!$J$21-SUM(Production!$B4:'Production'!N4)+SUM(Demand!$B72:'Demand'!N72)</f>
        <v>-337559.90104111063</v>
      </c>
      <c r="Q132" s="95">
        <f>'Stations Data'!$N$21-'Stations Data'!$J$21-SUM(Production!$B4:'Production'!O4)+SUM(Demand!$B72:'Demand'!O72)</f>
        <v>-370573.60216230655</v>
      </c>
      <c r="R132" s="95">
        <f>'Stations Data'!$N$21-'Stations Data'!$J$21-SUM(Production!$B4:'Production'!P4)+SUM(Demand!$B72:'Demand'!P72)</f>
        <v>-403293.20077415917</v>
      </c>
      <c r="S132" s="95">
        <f>'Stations Data'!$N$21-'Stations Data'!$J$21-SUM(Production!$B4:'Production'!Q4)+SUM(Demand!$B72:'Demand'!Q72)</f>
        <v>-436011.98243459698</v>
      </c>
      <c r="T132" s="95">
        <f>'Stations Data'!$N$21-'Stations Data'!$J$21-SUM(Production!$B4:'Production'!R4)+SUM(Demand!$B72:'Demand'!R72)</f>
        <v>-468729.94714361994</v>
      </c>
      <c r="U132" s="95">
        <f>'Stations Data'!$N$21-'Stations Data'!$J$21-SUM(Production!$B4:'Production'!S4)+SUM(Demand!$B72:'Demand'!S72)</f>
        <v>-501443.01014415384</v>
      </c>
      <c r="V132" s="95">
        <f>'Stations Data'!$N$21-'Stations Data'!$J$21-SUM(Production!$B4:'Production'!T4)+SUM(Demand!$B72:'Demand'!T72)</f>
        <v>-534450.1756540311</v>
      </c>
      <c r="W132" s="95">
        <f>'Stations Data'!$N$21-'Stations Data'!$J$21-SUM(Production!$B4:'Production'!U4)+SUM(Demand!$B72:'Demand'!U72)</f>
        <v>-568144.39730379079</v>
      </c>
      <c r="X132" s="95">
        <f>'Stations Data'!$N$21-'Stations Data'!$J$21-SUM(Production!$B4:'Production'!V4)+SUM(Demand!$B72:'Demand'!V72)</f>
        <v>-601838.61895355058</v>
      </c>
      <c r="Y132" s="95">
        <f>'Stations Data'!$N$21-'Stations Data'!$J$21-SUM(Production!$B4:'Production'!W4)+SUM(Demand!$B72:'Demand'!W72)</f>
        <v>-635532.02365189546</v>
      </c>
      <c r="Z132" s="95">
        <f>'Stations Data'!$N$21-'Stations Data'!$J$21-SUM(Production!$B4:'Production'!X4)+SUM(Demand!$B72:'Demand'!X72)</f>
        <v>-669225.42835024034</v>
      </c>
      <c r="AA132" s="95">
        <f>'Stations Data'!$N$21-'Stations Data'!$J$21-SUM(Production!$B4:'Production'!Y4)+SUM(Demand!$B72:'Demand'!Y72)</f>
        <v>-702919.65000000014</v>
      </c>
    </row>
    <row r="133" spans="1:27" x14ac:dyDescent="0.35">
      <c r="A133" s="105"/>
      <c r="B133" s="105"/>
      <c r="C133" s="79" t="s">
        <v>60</v>
      </c>
      <c r="D133" s="95">
        <f>13600+Demand!B77+IF(Demand!B88=0,16000,16200)</f>
        <v>32489.445768786645</v>
      </c>
      <c r="E133" s="95">
        <f>13600+Demand!C77+IF(Demand!C88=0,16000,16200)</f>
        <v>32463.594688301368</v>
      </c>
      <c r="F133" s="95">
        <f>13600+Demand!D77+IF(Demand!D88=0,16000,16200)</f>
        <v>32418.942822008608</v>
      </c>
      <c r="G133" s="95">
        <f>13600+Demand!E77+IF(Demand!E88=0,16000,16200)</f>
        <v>32333.164236761993</v>
      </c>
      <c r="H133" s="95">
        <f>13600+Demand!F77+IF(Demand!F88=0,16000,16200)</f>
        <v>32518.82199661083</v>
      </c>
      <c r="I133" s="95">
        <f>13600+Demand!G77+IF(Demand!G88=0,16000,16200)</f>
        <v>32834.910207999041</v>
      </c>
      <c r="J133" s="95">
        <f>13600+Demand!H77+IF(Demand!H88=0,16000,16200)</f>
        <v>33321.622191563067</v>
      </c>
      <c r="K133" s="95">
        <f>13600+Demand!I77+IF(Demand!I88=0,16000,16200)</f>
        <v>33365.099008742858</v>
      </c>
      <c r="L133" s="95">
        <f>13600+Demand!J77+IF(Demand!J88=0,16000,16200)</f>
        <v>33354.523566726151</v>
      </c>
      <c r="M133" s="95">
        <f>13600+Demand!K77+IF(Demand!K88=0,16000,16200)</f>
        <v>33202.942231153371</v>
      </c>
      <c r="N133" s="95">
        <f>13600+Demand!L77+IF(Demand!L88=0,16000,16200)</f>
        <v>33417.976218826385</v>
      </c>
      <c r="O133" s="95">
        <f>13600+Demand!M77+IF(Demand!M88=0,16000,16200)</f>
        <v>33422.676415278256</v>
      </c>
      <c r="P133" s="95">
        <f>13600+Demand!N77+IF(Demand!N88=0,16000,16200)</f>
        <v>33251.119244785026</v>
      </c>
      <c r="Q133" s="95">
        <f>13600+Demand!O77+IF(Demand!O88=0,16000,16200)</f>
        <v>33378.024548985501</v>
      </c>
      <c r="R133" s="95">
        <f>13600+Demand!P77+IF(Demand!P88=0,16000,16200)</f>
        <v>33261.694686801733</v>
      </c>
      <c r="S133" s="95">
        <f>13600+Demand!Q77+IF(Demand!Q88=0,16000,16200)</f>
        <v>33229.96836075162</v>
      </c>
      <c r="T133" s="95">
        <f>13600+Demand!R77+IF(Demand!R88=0,16000,16200)</f>
        <v>33135.96443171423</v>
      </c>
      <c r="U133" s="95">
        <f>13600+Demand!S77+IF(Demand!S88=0,16000,16200)</f>
        <v>33300.471307529653</v>
      </c>
      <c r="V133" s="95">
        <f>13600+Demand!T77+IF(Demand!T88=0,16000,16200)</f>
        <v>33038.435355337941</v>
      </c>
      <c r="W133" s="95">
        <f>13600+Demand!U77+IF(Demand!U88=0,16000,16200)</f>
        <v>33034.910207999041</v>
      </c>
      <c r="X133" s="95">
        <f>13600+Demand!V77+IF(Demand!V88=0,16000,16200)</f>
        <v>33071.336730501025</v>
      </c>
      <c r="Y133" s="95">
        <f>13600+Demand!W77+IF(Demand!W88=0,16000,16200)</f>
        <v>32598.725336292609</v>
      </c>
      <c r="Z133" s="95">
        <f>13600+Demand!X77+IF(Demand!X88=0,16000,16200)</f>
        <v>32726.805689606044</v>
      </c>
      <c r="AA133" s="95">
        <f>13600+Demand!Y77+IF(Demand!Y88=0,16000,16200)</f>
        <v>32584.624746936999</v>
      </c>
    </row>
    <row r="134" spans="1:27" x14ac:dyDescent="0.35">
      <c r="A134" s="105"/>
      <c r="B134" s="105"/>
      <c r="C134" s="80" t="s">
        <v>49</v>
      </c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6"/>
      <c r="T134" s="95"/>
      <c r="U134" s="95"/>
      <c r="V134" s="95"/>
      <c r="W134" s="95"/>
      <c r="X134" s="95"/>
      <c r="Y134" s="95"/>
      <c r="Z134" s="95"/>
      <c r="AA134" s="95"/>
    </row>
    <row r="135" spans="1:27" x14ac:dyDescent="0.35">
      <c r="A135" s="105"/>
      <c r="B135" s="105"/>
      <c r="C135" s="80" t="s">
        <v>50</v>
      </c>
      <c r="D135" s="94">
        <f>(AA139-D139)</f>
        <v>-591.38999999999942</v>
      </c>
      <c r="E135" s="93">
        <f t="shared" ref="E135:AA135" si="45">(D139-E139)</f>
        <v>0</v>
      </c>
      <c r="F135" s="93">
        <f t="shared" si="45"/>
        <v>0</v>
      </c>
      <c r="G135" s="93">
        <f t="shared" si="45"/>
        <v>0</v>
      </c>
      <c r="H135" s="93">
        <f t="shared" si="45"/>
        <v>0</v>
      </c>
      <c r="I135" s="93">
        <f t="shared" si="45"/>
        <v>0</v>
      </c>
      <c r="J135" s="93">
        <f t="shared" si="45"/>
        <v>0</v>
      </c>
      <c r="K135" s="93">
        <f t="shared" si="45"/>
        <v>0</v>
      </c>
      <c r="L135" s="93">
        <f t="shared" si="45"/>
        <v>0</v>
      </c>
      <c r="M135" s="93">
        <f t="shared" si="45"/>
        <v>0</v>
      </c>
      <c r="N135" s="93">
        <f t="shared" si="45"/>
        <v>0</v>
      </c>
      <c r="O135" s="93">
        <f t="shared" si="45"/>
        <v>0</v>
      </c>
      <c r="P135" s="93">
        <f t="shared" si="45"/>
        <v>0</v>
      </c>
      <c r="Q135" s="93">
        <f t="shared" si="45"/>
        <v>0</v>
      </c>
      <c r="R135" s="93">
        <f t="shared" si="45"/>
        <v>0</v>
      </c>
      <c r="S135" s="93">
        <f t="shared" si="45"/>
        <v>0</v>
      </c>
      <c r="T135" s="93">
        <f t="shared" si="45"/>
        <v>2795.6949999999997</v>
      </c>
      <c r="U135" s="93">
        <f t="shared" si="45"/>
        <v>0</v>
      </c>
      <c r="V135" s="93">
        <f t="shared" si="45"/>
        <v>0</v>
      </c>
      <c r="W135" s="93">
        <f t="shared" si="45"/>
        <v>0</v>
      </c>
      <c r="X135" s="93">
        <f t="shared" si="45"/>
        <v>0</v>
      </c>
      <c r="Y135" s="93">
        <f t="shared" si="45"/>
        <v>0</v>
      </c>
      <c r="Z135" s="93">
        <f t="shared" si="45"/>
        <v>-2204.3050000000003</v>
      </c>
      <c r="AA135" s="93">
        <f t="shared" si="45"/>
        <v>0</v>
      </c>
    </row>
    <row r="136" spans="1:27" x14ac:dyDescent="0.35">
      <c r="A136" s="105"/>
      <c r="B136" s="105"/>
      <c r="C136" s="80" t="s">
        <v>51</v>
      </c>
      <c r="D136" s="94">
        <f>-(AA139-D139)</f>
        <v>591.38999999999942</v>
      </c>
      <c r="E136" s="93">
        <f t="shared" ref="E136:AA136" si="46">-(D139-E139)</f>
        <v>0</v>
      </c>
      <c r="F136" s="93">
        <f t="shared" si="46"/>
        <v>0</v>
      </c>
      <c r="G136" s="93">
        <f t="shared" si="46"/>
        <v>0</v>
      </c>
      <c r="H136" s="93">
        <f t="shared" si="46"/>
        <v>0</v>
      </c>
      <c r="I136" s="93">
        <f t="shared" si="46"/>
        <v>0</v>
      </c>
      <c r="J136" s="93">
        <f t="shared" si="46"/>
        <v>0</v>
      </c>
      <c r="K136" s="93">
        <f t="shared" si="46"/>
        <v>0</v>
      </c>
      <c r="L136" s="93">
        <f t="shared" si="46"/>
        <v>0</v>
      </c>
      <c r="M136" s="93">
        <f t="shared" si="46"/>
        <v>0</v>
      </c>
      <c r="N136" s="93">
        <f t="shared" si="46"/>
        <v>0</v>
      </c>
      <c r="O136" s="93">
        <f t="shared" si="46"/>
        <v>0</v>
      </c>
      <c r="P136" s="93">
        <f t="shared" si="46"/>
        <v>0</v>
      </c>
      <c r="Q136" s="93">
        <f t="shared" si="46"/>
        <v>0</v>
      </c>
      <c r="R136" s="93">
        <f t="shared" si="46"/>
        <v>0</v>
      </c>
      <c r="S136" s="93">
        <f t="shared" si="46"/>
        <v>0</v>
      </c>
      <c r="T136" s="93">
        <f t="shared" si="46"/>
        <v>-2795.6949999999997</v>
      </c>
      <c r="U136" s="93">
        <f t="shared" si="46"/>
        <v>0</v>
      </c>
      <c r="V136" s="93">
        <f t="shared" si="46"/>
        <v>0</v>
      </c>
      <c r="W136" s="93">
        <f t="shared" si="46"/>
        <v>0</v>
      </c>
      <c r="X136" s="93">
        <f t="shared" si="46"/>
        <v>0</v>
      </c>
      <c r="Y136" s="93">
        <f t="shared" si="46"/>
        <v>0</v>
      </c>
      <c r="Z136" s="93">
        <f t="shared" si="46"/>
        <v>2204.3050000000003</v>
      </c>
      <c r="AA136" s="93">
        <f t="shared" si="46"/>
        <v>0</v>
      </c>
    </row>
    <row r="137" spans="1:27" x14ac:dyDescent="0.35">
      <c r="A137" s="105"/>
      <c r="B137" s="105"/>
      <c r="C137" s="80" t="s">
        <v>52</v>
      </c>
      <c r="D137" s="95">
        <v>5000</v>
      </c>
      <c r="E137" s="93" t="s">
        <v>44</v>
      </c>
      <c r="F137" s="95"/>
      <c r="G137" s="95">
        <f>SUM(E279:AA279)</f>
        <v>5000</v>
      </c>
      <c r="J137" s="95"/>
      <c r="K137" s="95"/>
      <c r="L137" s="95"/>
      <c r="M137" s="95"/>
      <c r="N137" s="95"/>
      <c r="O137" s="95"/>
      <c r="P137" s="95"/>
      <c r="Q137" s="96"/>
      <c r="T137" s="95"/>
      <c r="U137" s="95"/>
      <c r="V137" s="95"/>
      <c r="W137" s="95"/>
      <c r="X137" s="95"/>
      <c r="Y137" s="95"/>
      <c r="Z137" s="95"/>
      <c r="AA137" s="95"/>
    </row>
    <row r="138" spans="1:27" x14ac:dyDescent="0.35">
      <c r="A138" s="105"/>
      <c r="B138" s="105"/>
      <c r="C138" s="79" t="s">
        <v>48</v>
      </c>
      <c r="D138" s="93">
        <f>'Stations Data'!$J$21+SUM(Production!$B4:'Production'!B4)-SUM($D139:D139)-SUM($D146:D146)-SUM(Demand!$B72:'Demand'!B72)</f>
        <v>769939.506406834</v>
      </c>
      <c r="E138" s="93">
        <f>'Stations Data'!$J$21+SUM(Production!$B4:'Production'!C4)-SUM($D139:E139)-SUM($D146:E146)-SUM(Demand!$B72:'Demand'!C72)</f>
        <v>770236.66393486387</v>
      </c>
      <c r="F138" s="93">
        <f>'Stations Data'!$J$21+SUM(Production!$B4:'Production'!D4)-SUM($D139:F139)-SUM($D146:F146)-SUM(Demand!$B72:'Demand'!D72)</f>
        <v>770533.00451147894</v>
      </c>
      <c r="G138" s="93">
        <f>'Stations Data'!$J$21+SUM(Production!$B4:'Production'!E4)-SUM($D139:G139)-SUM($D146:G146)-SUM(Demand!$B72:'Demand'!E72)</f>
        <v>770830.16203950893</v>
      </c>
      <c r="H138" s="93">
        <f>'Stations Data'!$J$21+SUM(Production!$B4:'Production'!F4)-SUM($D139:H139)-SUM($D146:H146)-SUM(Demand!$B72:'Demand'!F72)</f>
        <v>771127.3195675388</v>
      </c>
      <c r="I138" s="93">
        <f>'Stations Data'!$J$21+SUM(Production!$B4:'Production'!G4)-SUM($D139:I139)-SUM($D146:I146)-SUM(Demand!$B72:'Demand'!G72)</f>
        <v>771425.29404698347</v>
      </c>
      <c r="J138" s="93">
        <f>'Stations Data'!$J$21+SUM(Production!$B4:'Production'!H4)-SUM($D139:J139)-SUM($D146:J146)-SUM(Demand!$B72:'Demand'!H72)</f>
        <v>771723.26852642826</v>
      </c>
      <c r="K138" s="93">
        <f>'Stations Data'!$J$21+SUM(Production!$B4:'Production'!I4)-SUM($D139:K139)-SUM($D146:K146)-SUM(Demand!$B72:'Demand'!I72)</f>
        <v>771041.71825947682</v>
      </c>
      <c r="L138" s="93">
        <f>'Stations Data'!$J$21+SUM(Production!$B4:'Production'!J4)-SUM($D139:L139)-SUM($D146:L146)-SUM(Demand!$B72:'Demand'!J72)</f>
        <v>770359.3510411107</v>
      </c>
      <c r="M138" s="93">
        <f>'Stations Data'!$J$21+SUM(Production!$B4:'Production'!K4)-SUM($D139:M139)-SUM($D146:M146)-SUM(Demand!$B72:'Demand'!K72)</f>
        <v>769774.20104111067</v>
      </c>
      <c r="N138" s="93">
        <f>'Stations Data'!$J$21+SUM(Production!$B4:'Production'!L4)-SUM($D139:N139)-SUM($D146:N146)-SUM(Demand!$B72:'Demand'!L72)</f>
        <v>769189.05104111065</v>
      </c>
      <c r="O138" s="93">
        <f>'Stations Data'!$J$21+SUM(Production!$B4:'Production'!M4)-SUM($D139:O139)-SUM($D146:O146)-SUM(Demand!$B72:'Demand'!M72)</f>
        <v>768603.08408969583</v>
      </c>
      <c r="P138" s="93">
        <f>'Stations Data'!$J$21+SUM(Production!$B4:'Production'!N4)-SUM($D139:P139)-SUM($D146:P146)-SUM(Demand!$B72:'Demand'!N72)</f>
        <v>768018.75104111072</v>
      </c>
      <c r="Q138" s="93">
        <f>'Stations Data'!$J$21+SUM(Production!$B4:'Production'!O4)-SUM($D139:Q139)-SUM($D146:Q146)-SUM(Demand!$B72:'Demand'!O72)</f>
        <v>767532.45216230664</v>
      </c>
      <c r="R138" s="93">
        <f>'Stations Data'!$J$21+SUM(Production!$B4:'Production'!P4)-SUM($D139:R139)-SUM($D146:R146)-SUM(Demand!$B72:'Demand'!P72)</f>
        <v>766752.05077415926</v>
      </c>
      <c r="S138" s="93">
        <f>'Stations Data'!$J$21+SUM(Production!$B4:'Production'!Q4)-SUM($D139:S139)-SUM($D146:S146)-SUM(Demand!$B72:'Demand'!Q72)</f>
        <v>765970.83243459708</v>
      </c>
      <c r="T138" s="93">
        <f>'Stations Data'!$J$21+SUM(Production!$B4:'Production'!R4)-SUM($D139:T139)-SUM($D146:T146)-SUM(Demand!$B72:'Demand'!R72)</f>
        <v>767984.49214362004</v>
      </c>
      <c r="U138" s="93">
        <f>'Stations Data'!$J$21+SUM(Production!$B4:'Production'!S4)-SUM($D139:U139)-SUM($D146:U146)-SUM(Demand!$B72:'Demand'!S72)</f>
        <v>769993.25014415383</v>
      </c>
      <c r="V138" s="93">
        <f>'Stations Data'!$J$21+SUM(Production!$B4:'Production'!T4)-SUM($D139:V139)-SUM($D146:V146)-SUM(Demand!$B72:'Demand'!T72)</f>
        <v>772296.11065403104</v>
      </c>
      <c r="W138" s="93">
        <f>'Stations Data'!$J$21+SUM(Production!$B4:'Production'!U4)-SUM($D139:W139)-SUM($D146:W146)-SUM(Demand!$B72:'Demand'!U72)</f>
        <v>775286.02730379067</v>
      </c>
      <c r="X138" s="93">
        <f>'Stations Data'!$J$21+SUM(Production!$B4:'Production'!V4)-SUM($D139:X139)-SUM($D146:X146)-SUM(Demand!$B72:'Demand'!V72)</f>
        <v>778275.94395355042</v>
      </c>
      <c r="Y138" s="93">
        <f>'Stations Data'!$J$21+SUM(Production!$B4:'Production'!W4)-SUM($D139:Y139)-SUM($D146:Y146)-SUM(Demand!$B72:'Demand'!W72)</f>
        <v>781265.04365189525</v>
      </c>
      <c r="Z138" s="93">
        <f>'Stations Data'!$J$21+SUM(Production!$B4:'Production'!X4)-SUM($D139:Z139)-SUM($D146:Z146)-SUM(Demand!$B72:'Demand'!X72)</f>
        <v>782049.83835024014</v>
      </c>
      <c r="AA138" s="93">
        <f>'Stations Data'!$J$21+SUM(Production!$B4:'Production'!Y4)-SUM($D139:AA139)-SUM($D146:AA146)-SUM(Demand!$B72:'Demand'!Y72)</f>
        <v>782835.45</v>
      </c>
    </row>
    <row r="139" spans="1:27" x14ac:dyDescent="0.35">
      <c r="A139" s="105"/>
      <c r="B139" s="105"/>
      <c r="C139" s="81" t="s">
        <v>106</v>
      </c>
      <c r="D139" s="93">
        <f t="shared" ref="D139:U139" si="47">D280</f>
        <v>33500</v>
      </c>
      <c r="E139" s="93">
        <f t="shared" si="47"/>
        <v>33500</v>
      </c>
      <c r="F139" s="93">
        <f t="shared" si="47"/>
        <v>33500</v>
      </c>
      <c r="G139" s="93">
        <f t="shared" si="47"/>
        <v>33500</v>
      </c>
      <c r="H139" s="93">
        <f t="shared" si="47"/>
        <v>33500</v>
      </c>
      <c r="I139" s="93">
        <f t="shared" si="47"/>
        <v>33500</v>
      </c>
      <c r="J139" s="93">
        <f t="shared" si="47"/>
        <v>33500</v>
      </c>
      <c r="K139" s="93">
        <f t="shared" si="47"/>
        <v>33500</v>
      </c>
      <c r="L139" s="93">
        <f t="shared" si="47"/>
        <v>33500</v>
      </c>
      <c r="M139" s="93">
        <f t="shared" si="47"/>
        <v>33500</v>
      </c>
      <c r="N139" s="93">
        <f t="shared" si="47"/>
        <v>33500</v>
      </c>
      <c r="O139" s="93">
        <f t="shared" si="47"/>
        <v>33500</v>
      </c>
      <c r="P139" s="93">
        <f t="shared" si="47"/>
        <v>33500</v>
      </c>
      <c r="Q139" s="93">
        <f t="shared" si="47"/>
        <v>33500</v>
      </c>
      <c r="R139" s="93">
        <f t="shared" si="47"/>
        <v>33500</v>
      </c>
      <c r="S139" s="93">
        <f t="shared" si="47"/>
        <v>33500</v>
      </c>
      <c r="T139" s="93">
        <f t="shared" si="47"/>
        <v>30704.305</v>
      </c>
      <c r="U139" s="93">
        <f t="shared" si="47"/>
        <v>30704.305</v>
      </c>
      <c r="V139" s="93">
        <f t="shared" ref="V139:AA139" si="48">V280</f>
        <v>30704.305</v>
      </c>
      <c r="W139" s="93">
        <f t="shared" si="48"/>
        <v>30704.305</v>
      </c>
      <c r="X139" s="93">
        <f t="shared" si="48"/>
        <v>30704.305</v>
      </c>
      <c r="Y139" s="93">
        <f t="shared" si="48"/>
        <v>30704.305</v>
      </c>
      <c r="Z139" s="93">
        <f t="shared" si="48"/>
        <v>32908.61</v>
      </c>
      <c r="AA139" s="93">
        <f t="shared" si="48"/>
        <v>32908.61</v>
      </c>
    </row>
    <row r="140" spans="1:27" x14ac:dyDescent="0.35">
      <c r="A140" s="105"/>
      <c r="B140" s="105"/>
      <c r="C140" s="76" t="s">
        <v>68</v>
      </c>
      <c r="D140" s="95">
        <f>SUM(D139:AA139)/4545</f>
        <v>172.94676567656771</v>
      </c>
      <c r="E140" s="93" t="s">
        <v>5</v>
      </c>
      <c r="H140" s="95">
        <f>D140*4545*'Stations Data'!B22</f>
        <v>650869.08579746913</v>
      </c>
      <c r="I140" s="93" t="s">
        <v>77</v>
      </c>
      <c r="L140" s="95">
        <f>SUMPRODUCT(D129:AA129,D139:AA139)</f>
        <v>129805.71002537753</v>
      </c>
      <c r="M140" s="95" t="s">
        <v>71</v>
      </c>
      <c r="N140" s="95"/>
      <c r="O140" s="95">
        <f>(SUM(D140*4545/24*D129,D140*4545/24*E129,D140*4545/24*F129,D140*4545/24*G129,D140*4545/24*H129,D140*4545/24*I129,D140*4545/24*J129,D140*4545/24*K129,D140*4545/24*L129,D140*4545/24*M129,D140*4545/24*N129,D140*4545/24*O129,D140*4545/24*P129,D140*4545/24*Q129,D140*4545/24*R129,D140*4545/24*S129,D140*4545/24*T129,D140*4545/24*U129,D140*4545/24*V129,D140*4545/24*W129,D140*4545/24*X129,D140*4545/24*Y129,D140*4545/24*Z129,D140*4545/24*AA129)-SUMPRODUCT(D139:AA139,D129:AA129))</f>
        <v>994.56862919636478</v>
      </c>
      <c r="P140" s="93" t="s">
        <v>70</v>
      </c>
      <c r="Q140" s="95"/>
      <c r="R140" s="93">
        <f>(D140*4545/24-T139)*'Stations Data'!B22</f>
        <v>1695.3869522707564</v>
      </c>
      <c r="S140" s="96" t="s">
        <v>28</v>
      </c>
      <c r="U140" s="93">
        <f>AA138-'Stations Data'!L21</f>
        <v>13094.249999999884</v>
      </c>
      <c r="AA140" s="95"/>
    </row>
    <row r="141" spans="1:27" x14ac:dyDescent="0.35">
      <c r="A141" s="105"/>
      <c r="B141" s="107" t="s">
        <v>190</v>
      </c>
      <c r="C141" s="78" t="s">
        <v>249</v>
      </c>
      <c r="D141" s="92">
        <f>'Stations Data'!$B$23*Demand!B3</f>
        <v>3.6929423651452284E-2</v>
      </c>
      <c r="E141" s="92">
        <f>'Stations Data'!$B$23*Demand!C3</f>
        <v>2.6250265643153529E-2</v>
      </c>
      <c r="F141" s="92">
        <f>'Stations Data'!$B$23*Demand!D3</f>
        <v>2.6250265643153529E-2</v>
      </c>
      <c r="G141" s="92">
        <f>'Stations Data'!$B$23*Demand!E3</f>
        <v>2.6250265643153529E-2</v>
      </c>
      <c r="H141" s="92">
        <f>'Stations Data'!$B$23*Demand!F3</f>
        <v>2.0303189626556018E-2</v>
      </c>
      <c r="I141" s="92">
        <f>'Stations Data'!$B$23*Demand!G3</f>
        <v>2.0303189626556018E-2</v>
      </c>
      <c r="J141" s="92">
        <f>'Stations Data'!$B$23*Demand!H3</f>
        <v>2.0303189626556018E-2</v>
      </c>
      <c r="K141" s="92">
        <f>'Stations Data'!$B$23*Demand!I3</f>
        <v>1.9695692614107887E-2</v>
      </c>
      <c r="L141" s="92">
        <f>'Stations Data'!$B$23*Demand!J3</f>
        <v>1.9695692614107887E-2</v>
      </c>
      <c r="M141" s="92">
        <f>'Stations Data'!$B$23*Demand!K3</f>
        <v>1.9695692614107887E-2</v>
      </c>
      <c r="N141" s="92">
        <f>'Stations Data'!$B$23*Demand!L3</f>
        <v>2.8264597842323651E-2</v>
      </c>
      <c r="O141" s="92">
        <f>'Stations Data'!$B$23*Demand!M3</f>
        <v>2.8264597842323651E-2</v>
      </c>
      <c r="P141" s="92">
        <f>'Stations Data'!$B$23*Demand!N3</f>
        <v>2.8264597842323651E-2</v>
      </c>
      <c r="Q141" s="92">
        <f>'Stations Data'!$B$23*Demand!O3</f>
        <v>3.9103623485477183E-2</v>
      </c>
      <c r="R141" s="92">
        <f>'Stations Data'!$B$23*Demand!P3</f>
        <v>3.9103623485477183E-2</v>
      </c>
      <c r="S141" s="92">
        <f>'Stations Data'!$B$23*Demand!Q3</f>
        <v>3.9103623485477183E-2</v>
      </c>
      <c r="T141" s="92">
        <f>'Stations Data'!$B$23*Demand!R3</f>
        <v>4.3787745186721995E-2</v>
      </c>
      <c r="U141" s="92">
        <f>'Stations Data'!$B$23*Demand!S3</f>
        <v>4.3787745186721995E-2</v>
      </c>
      <c r="V141" s="92">
        <f>'Stations Data'!$B$23*Demand!T3</f>
        <v>4.3787745186721995E-2</v>
      </c>
      <c r="W141" s="92">
        <f>'Stations Data'!$B$23*Demand!U3</f>
        <v>4.268465850622407E-2</v>
      </c>
      <c r="X141" s="92">
        <f>'Stations Data'!$B$23*Demand!V3</f>
        <v>4.268465850622407E-2</v>
      </c>
      <c r="Y141" s="92">
        <f>'Stations Data'!$B$23*Demand!W3</f>
        <v>4.268465850622407E-2</v>
      </c>
      <c r="Z141" s="92">
        <f>'Stations Data'!$B$23*Demand!X3</f>
        <v>3.6929423651452284E-2</v>
      </c>
      <c r="AA141" s="92">
        <f>'Stations Data'!$B$23*Demand!Y3</f>
        <v>3.6929423651452284E-2</v>
      </c>
    </row>
    <row r="142" spans="1:27" x14ac:dyDescent="0.35">
      <c r="A142" s="105"/>
      <c r="B142" s="107"/>
      <c r="C142" s="80" t="s">
        <v>49</v>
      </c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6"/>
      <c r="T142" s="95"/>
      <c r="U142" s="95"/>
      <c r="V142" s="95"/>
      <c r="W142" s="95"/>
      <c r="X142" s="95"/>
      <c r="Y142" s="95"/>
      <c r="Z142" s="95"/>
      <c r="AA142" s="95"/>
    </row>
    <row r="143" spans="1:27" x14ac:dyDescent="0.35">
      <c r="A143" s="105"/>
      <c r="B143" s="107"/>
      <c r="C143" s="80" t="s">
        <v>50</v>
      </c>
      <c r="D143" s="94">
        <f>(AA146-D146)</f>
        <v>0</v>
      </c>
      <c r="E143" s="93">
        <f>(D146-E146)</f>
        <v>0</v>
      </c>
      <c r="F143" s="93">
        <f t="shared" ref="F143:AA143" si="49">(E146-F146)</f>
        <v>0</v>
      </c>
      <c r="G143" s="93">
        <f t="shared" si="49"/>
        <v>0</v>
      </c>
      <c r="H143" s="93">
        <f t="shared" si="49"/>
        <v>0</v>
      </c>
      <c r="I143" s="93">
        <f t="shared" si="49"/>
        <v>0</v>
      </c>
      <c r="J143" s="93">
        <f t="shared" si="49"/>
        <v>0</v>
      </c>
      <c r="K143" s="93">
        <f t="shared" si="49"/>
        <v>0</v>
      </c>
      <c r="L143" s="93">
        <f t="shared" si="49"/>
        <v>0</v>
      </c>
      <c r="M143" s="93">
        <f t="shared" si="49"/>
        <v>0</v>
      </c>
      <c r="N143" s="93">
        <f t="shared" si="49"/>
        <v>0</v>
      </c>
      <c r="O143" s="93">
        <f t="shared" si="49"/>
        <v>0</v>
      </c>
      <c r="P143" s="93">
        <f t="shared" si="49"/>
        <v>0</v>
      </c>
      <c r="Q143" s="93">
        <f t="shared" si="49"/>
        <v>0</v>
      </c>
      <c r="R143" s="93">
        <f t="shared" si="49"/>
        <v>0</v>
      </c>
      <c r="S143" s="93">
        <f t="shared" si="49"/>
        <v>0</v>
      </c>
      <c r="T143" s="93">
        <f t="shared" si="49"/>
        <v>0</v>
      </c>
      <c r="U143" s="93">
        <f t="shared" si="49"/>
        <v>0</v>
      </c>
      <c r="V143" s="93">
        <f>(U146-V146)</f>
        <v>0</v>
      </c>
      <c r="W143" s="93">
        <f t="shared" si="49"/>
        <v>0</v>
      </c>
      <c r="X143" s="93">
        <f t="shared" si="49"/>
        <v>0</v>
      </c>
      <c r="Y143" s="93">
        <f t="shared" si="49"/>
        <v>0</v>
      </c>
      <c r="Z143" s="93">
        <f t="shared" si="49"/>
        <v>0</v>
      </c>
      <c r="AA143" s="93">
        <f t="shared" si="49"/>
        <v>0</v>
      </c>
    </row>
    <row r="144" spans="1:27" x14ac:dyDescent="0.35">
      <c r="A144" s="105"/>
      <c r="B144" s="107"/>
      <c r="C144" s="80" t="s">
        <v>51</v>
      </c>
      <c r="D144" s="94">
        <f>-(AA146-D146)</f>
        <v>0</v>
      </c>
      <c r="E144" s="93">
        <f>-(D146-E146)</f>
        <v>0</v>
      </c>
      <c r="F144" s="93">
        <f t="shared" ref="F144:AA144" si="50">-(E146-F146)</f>
        <v>0</v>
      </c>
      <c r="G144" s="93">
        <f t="shared" si="50"/>
        <v>0</v>
      </c>
      <c r="H144" s="93">
        <f t="shared" si="50"/>
        <v>0</v>
      </c>
      <c r="I144" s="93">
        <f t="shared" si="50"/>
        <v>0</v>
      </c>
      <c r="J144" s="93">
        <f t="shared" si="50"/>
        <v>0</v>
      </c>
      <c r="K144" s="93">
        <f t="shared" si="50"/>
        <v>0</v>
      </c>
      <c r="L144" s="93">
        <f t="shared" si="50"/>
        <v>0</v>
      </c>
      <c r="M144" s="93">
        <f t="shared" si="50"/>
        <v>0</v>
      </c>
      <c r="N144" s="93">
        <f t="shared" si="50"/>
        <v>0</v>
      </c>
      <c r="O144" s="93">
        <f t="shared" si="50"/>
        <v>0</v>
      </c>
      <c r="P144" s="93">
        <f t="shared" si="50"/>
        <v>0</v>
      </c>
      <c r="Q144" s="93">
        <f t="shared" si="50"/>
        <v>0</v>
      </c>
      <c r="R144" s="93">
        <f t="shared" si="50"/>
        <v>0</v>
      </c>
      <c r="S144" s="93">
        <f t="shared" si="50"/>
        <v>0</v>
      </c>
      <c r="T144" s="93">
        <f t="shared" si="50"/>
        <v>0</v>
      </c>
      <c r="U144" s="93">
        <f t="shared" si="50"/>
        <v>0</v>
      </c>
      <c r="V144" s="93">
        <f>-(U146-V146)</f>
        <v>0</v>
      </c>
      <c r="W144" s="93">
        <f t="shared" si="50"/>
        <v>0</v>
      </c>
      <c r="X144" s="93">
        <f t="shared" si="50"/>
        <v>0</v>
      </c>
      <c r="Y144" s="93">
        <f t="shared" si="50"/>
        <v>0</v>
      </c>
      <c r="Z144" s="93">
        <f t="shared" si="50"/>
        <v>0</v>
      </c>
      <c r="AA144" s="93">
        <f t="shared" si="50"/>
        <v>0</v>
      </c>
    </row>
    <row r="145" spans="1:27" x14ac:dyDescent="0.35">
      <c r="A145" s="105"/>
      <c r="B145" s="107"/>
      <c r="C145" s="80" t="s">
        <v>52</v>
      </c>
      <c r="D145" s="95">
        <v>1000</v>
      </c>
      <c r="E145" s="93" t="s">
        <v>44</v>
      </c>
      <c r="F145" s="95"/>
      <c r="G145" s="95">
        <f>SUM(E281:AA281)</f>
        <v>0</v>
      </c>
      <c r="J145" s="95"/>
      <c r="K145" s="95"/>
      <c r="L145" s="95"/>
      <c r="M145" s="95"/>
      <c r="N145" s="95"/>
      <c r="O145" s="95"/>
      <c r="P145" s="95"/>
      <c r="Q145" s="96"/>
      <c r="T145" s="95"/>
      <c r="U145" s="95"/>
      <c r="V145" s="95"/>
      <c r="W145" s="95"/>
      <c r="X145" s="95"/>
      <c r="Y145" s="95"/>
      <c r="Z145" s="95"/>
      <c r="AA145" s="95"/>
    </row>
    <row r="146" spans="1:27" x14ac:dyDescent="0.35">
      <c r="A146" s="105"/>
      <c r="B146" s="107"/>
      <c r="C146" s="84" t="s">
        <v>248</v>
      </c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99"/>
      <c r="S146" s="99"/>
      <c r="T146" s="99"/>
      <c r="U146" s="99"/>
      <c r="V146" s="99"/>
      <c r="W146" s="99"/>
      <c r="X146" s="99"/>
      <c r="Y146" s="99"/>
      <c r="Z146" s="99"/>
      <c r="AA146" s="99"/>
    </row>
    <row r="147" spans="1:27" x14ac:dyDescent="0.35">
      <c r="A147" s="105"/>
      <c r="B147" s="107"/>
      <c r="C147" s="85" t="s">
        <v>250</v>
      </c>
      <c r="D147" s="95">
        <f>SUM(D146:AA146)/4545</f>
        <v>0</v>
      </c>
      <c r="F147" s="93" t="s">
        <v>5</v>
      </c>
      <c r="I147" s="95"/>
      <c r="K147" s="93" t="s">
        <v>6</v>
      </c>
      <c r="M147" s="95"/>
      <c r="N147" s="95"/>
      <c r="O147" s="95"/>
      <c r="P147" s="95"/>
      <c r="Q147" s="96"/>
      <c r="T147" s="95"/>
      <c r="U147" s="95"/>
      <c r="V147" s="95"/>
      <c r="X147" s="95"/>
      <c r="Y147" s="95"/>
      <c r="Z147" s="95"/>
      <c r="AA147" s="95"/>
    </row>
    <row r="148" spans="1:27" s="67" customFormat="1" x14ac:dyDescent="0.35">
      <c r="A148" s="106" t="s">
        <v>191</v>
      </c>
      <c r="B148" s="106" t="s">
        <v>192</v>
      </c>
      <c r="C148" s="80" t="s">
        <v>72</v>
      </c>
      <c r="D148" s="92">
        <f>'Stations Data'!$B26*Demand!B3</f>
        <v>0.18679266804283207</v>
      </c>
      <c r="E148" s="92">
        <f>'Stations Data'!$B26*Demand!C3</f>
        <v>0.13277643330144168</v>
      </c>
      <c r="F148" s="92">
        <f>'Stations Data'!$B26*Demand!D3</f>
        <v>0.13277643330144168</v>
      </c>
      <c r="G148" s="92">
        <f>'Stations Data'!$B26*Demand!E3</f>
        <v>0.13277643330144168</v>
      </c>
      <c r="H148" s="92">
        <f>'Stations Data'!$B26*Demand!F3</f>
        <v>0.10269553611012845</v>
      </c>
      <c r="I148" s="92">
        <f>'Stations Data'!$B26*Demand!G3</f>
        <v>0.10269553611012845</v>
      </c>
      <c r="J148" s="92">
        <f>'Stations Data'!$B26*Demand!H3</f>
        <v>0.10269553611012845</v>
      </c>
      <c r="K148" s="92">
        <f>'Stations Data'!$B26*Demand!I3</f>
        <v>9.9622756289510436E-2</v>
      </c>
      <c r="L148" s="92">
        <f>'Stations Data'!$B26*Demand!J3</f>
        <v>9.9622756289510436E-2</v>
      </c>
      <c r="M148" s="92">
        <f>'Stations Data'!$B26*Demand!K3</f>
        <v>9.9622756289510436E-2</v>
      </c>
      <c r="N148" s="92">
        <f>'Stations Data'!$B26*Demand!L3</f>
        <v>0.14296512428559613</v>
      </c>
      <c r="O148" s="92">
        <f>'Stations Data'!$B26*Demand!M3</f>
        <v>0.14296512428559613</v>
      </c>
      <c r="P148" s="92">
        <f>'Stations Data'!$B26*Demand!N3</f>
        <v>0.14296512428559613</v>
      </c>
      <c r="Q148" s="92">
        <f>'Stations Data'!$B26*Demand!O3</f>
        <v>0.19778998529557024</v>
      </c>
      <c r="R148" s="92">
        <f>'Stations Data'!$B26*Demand!P3</f>
        <v>0.19778998529557024</v>
      </c>
      <c r="S148" s="92">
        <f>'Stations Data'!$B26*Demand!Q3</f>
        <v>0.19778998529557024</v>
      </c>
      <c r="T148" s="92">
        <f>'Stations Data'!$B26*Demand!R3</f>
        <v>0.22148273496507231</v>
      </c>
      <c r="U148" s="92">
        <f>'Stations Data'!$B26*Demand!S3</f>
        <v>0.22148273496507231</v>
      </c>
      <c r="V148" s="92">
        <f>'Stations Data'!$B26*Demand!T3</f>
        <v>0.22148273496507231</v>
      </c>
      <c r="W148" s="92">
        <f>'Stations Data'!$B26*Demand!U3</f>
        <v>0.21590321371184487</v>
      </c>
      <c r="X148" s="92">
        <f>'Stations Data'!$B26*Demand!V3</f>
        <v>0.21590321371184487</v>
      </c>
      <c r="Y148" s="92">
        <f>'Stations Data'!$B26*Demand!W3</f>
        <v>0.21590321371184487</v>
      </c>
      <c r="Z148" s="92">
        <f>'Stations Data'!$B26*Demand!X3</f>
        <v>0.18679266804283207</v>
      </c>
      <c r="AA148" s="92">
        <f>'Stations Data'!$B26*Demand!Y3</f>
        <v>0.18679266804283207</v>
      </c>
    </row>
    <row r="149" spans="1:27" s="67" customFormat="1" x14ac:dyDescent="0.35">
      <c r="A149" s="106"/>
      <c r="B149" s="106"/>
      <c r="C149" s="80" t="s">
        <v>45</v>
      </c>
      <c r="D149" s="95">
        <f>SUM($D139:D139)-SUM($D157:D157)-SUM($D164:D164)-SUM($D171:D171)-SUM($D178:D178)</f>
        <v>303</v>
      </c>
      <c r="E149" s="95">
        <f>SUM($D139:E139)-SUM($D157:E157)-SUM($D164:E164)-SUM($D171:E171)-SUM($D178:E178)</f>
        <v>-303</v>
      </c>
      <c r="F149" s="95">
        <f>SUM($D139:F139)-SUM($D157:F157)-SUM($D164:F164)-SUM($D171:F171)-SUM($D178:F178)</f>
        <v>-909</v>
      </c>
      <c r="G149" s="95">
        <f>SUM($D139:G139)-SUM($D157:G157)-SUM($D164:G164)-SUM($D171:G171)-SUM($D178:G178)</f>
        <v>-2307.7764399999996</v>
      </c>
      <c r="H149" s="95">
        <f>SUM($D139:H139)-SUM($D157:H157)-SUM($D164:H164)-SUM($D171:H171)-SUM($D178:H178)</f>
        <v>-3704.8066799999997</v>
      </c>
      <c r="I149" s="95">
        <f>SUM($D139:I139)-SUM($D157:I157)-SUM($D164:I164)-SUM($D171:I171)-SUM($D178:I178)</f>
        <v>-5646.9688000000006</v>
      </c>
      <c r="J149" s="95">
        <f>SUM($D139:J139)-SUM($D157:J157)-SUM($D164:J164)-SUM($D171:J171)-SUM($D178:J178)</f>
        <v>-7913.0517</v>
      </c>
      <c r="K149" s="95">
        <f>SUM($D139:K139)-SUM($D157:K157)-SUM($D164:K164)-SUM($D171:K171)-SUM($D178:K178)</f>
        <v>-10414.866900000001</v>
      </c>
      <c r="L149" s="95">
        <f>SUM($D139:L139)-SUM($D157:L157)-SUM($D164:L164)-SUM($D171:L171)-SUM($D178:L178)</f>
        <v>-12918.428300000001</v>
      </c>
      <c r="M149" s="95">
        <f>SUM($D139:M139)-SUM($D157:M157)-SUM($D164:M164)-SUM($D171:M171)-SUM($D178:M178)</f>
        <v>-15309.359600000002</v>
      </c>
      <c r="N149" s="95">
        <f>SUM($D139:N139)-SUM($D157:N157)-SUM($D164:N164)-SUM($D171:N171)-SUM($D178:N178)</f>
        <v>-17105.397400000002</v>
      </c>
      <c r="O149" s="95">
        <f>SUM($D139:O139)-SUM($D157:O157)-SUM($D164:O164)-SUM($D171:O171)-SUM($D178:O178)</f>
        <v>-18847.302799999998</v>
      </c>
      <c r="P149" s="95">
        <f>SUM($D139:P139)-SUM($D157:P157)-SUM($D164:P164)-SUM($D171:P171)-SUM($D178:P178)</f>
        <v>-20494.040199999996</v>
      </c>
      <c r="Q149" s="95">
        <f>SUM($D139:Q139)-SUM($D157:Q157)-SUM($D164:Q164)-SUM($D171:Q171)-SUM($D178:Q178)</f>
        <v>-19462.605099999997</v>
      </c>
      <c r="R149" s="95">
        <f>SUM($D139:R139)-SUM($D157:R157)-SUM($D164:R164)-SUM($D171:R171)-SUM($D178:R178)</f>
        <v>-18432.916199999996</v>
      </c>
      <c r="S149" s="95">
        <f>SUM($D139:S139)-SUM($D157:S157)-SUM($D164:S164)-SUM($D171:S171)-SUM($D178:S178)</f>
        <v>-13817.311800000007</v>
      </c>
      <c r="T149" s="95">
        <f>SUM($D139:T139)-SUM($D157:T157)-SUM($D164:T164)-SUM($D171:T171)-SUM($D178:T178)</f>
        <v>-10524.820099999954</v>
      </c>
      <c r="U149" s="95">
        <f>SUM($D139:U139)-SUM($D157:U157)-SUM($D164:U164)-SUM($D171:U171)-SUM($D178:U178)</f>
        <v>-7195.658099999906</v>
      </c>
      <c r="V149" s="95">
        <f>SUM($D139:V139)-SUM($D157:V157)-SUM($D164:V164)-SUM($D171:V171)-SUM($D178:V178)</f>
        <v>-3852.5264799998549</v>
      </c>
      <c r="W149" s="95">
        <f>SUM($D139:W139)-SUM($D157:W157)-SUM($D164:W164)-SUM($D171:W171)-SUM($D178:W178)</f>
        <v>-572.25817999974242</v>
      </c>
      <c r="X149" s="95">
        <f>SUM($D139:X139)-SUM($D157:X157)-SUM($D164:X164)-SUM($D171:X171)-SUM($D178:X178)</f>
        <v>2744.6803900003069</v>
      </c>
      <c r="Y149" s="95">
        <f>SUM($D139:Y139)-SUM($D157:Y157)-SUM($D164:Y164)-SUM($D171:Y171)-SUM($D178:Y178)</f>
        <v>6169.8835800003581</v>
      </c>
      <c r="Z149" s="95">
        <f>SUM($D139:Z139)-SUM($D157:Z157)-SUM($D164:Z164)-SUM($D171:Z171)-SUM($D178:Z178)</f>
        <v>4387.3959700003397</v>
      </c>
      <c r="AA149" s="95">
        <f>SUM($D139:AA139)-SUM($D157:AA157)-SUM($D164:AA164)-SUM($D171:AA171)-SUM($D178:AA178)</f>
        <v>2712.2998900003222</v>
      </c>
    </row>
    <row r="150" spans="1:27" s="67" customFormat="1" x14ac:dyDescent="0.35">
      <c r="A150" s="106"/>
      <c r="B150" s="106"/>
      <c r="C150" s="80" t="s">
        <v>46</v>
      </c>
      <c r="D150" s="95">
        <f>'Stations Data'!$H25-'Stations Data'!$J25-SUM(Production!$B5:'Production'!B5)+SUM(Demand!$B77:'Demand'!B77)+SUM(Demand!$B80:'Demand'!B80)+SUM(Demand!$B88:'Demand'!B88)</f>
        <v>-149440.45586380412</v>
      </c>
      <c r="E150" s="95">
        <f>'Stations Data'!$H25-'Stations Data'!$J25-SUM(Production!$B5:'Production'!C5)+SUM(Demand!$B77:'Demand'!C77)+SUM(Demand!$B80:'Demand'!C80)+SUM(Demand!$B88:'Demand'!C88)</f>
        <v>-150815.73934150825</v>
      </c>
      <c r="F150" s="95">
        <f>'Stations Data'!$H25-'Stations Data'!$J25-SUM(Production!$B5:'Production'!D5)+SUM(Demand!$B77:'Demand'!D77)+SUM(Demand!$B80:'Demand'!D80)+SUM(Demand!$B88:'Demand'!D88)</f>
        <v>-152262.78934830645</v>
      </c>
      <c r="G150" s="95">
        <f>'Stations Data'!$H25-'Stations Data'!$J25-SUM(Production!$B5:'Production'!E5)+SUM(Demand!$B77:'Demand'!E77)+SUM(Demand!$B80:'Demand'!E80)+SUM(Demand!$B88:'Demand'!E88)</f>
        <v>-153715.45285032995</v>
      </c>
      <c r="H150" s="95">
        <f>'Stations Data'!$H25-'Stations Data'!$J25-SUM(Production!$B5:'Production'!F5)+SUM(Demand!$B77:'Demand'!F77)+SUM(Demand!$B80:'Demand'!F80)+SUM(Demand!$B88:'Demand'!F88)</f>
        <v>-154897.57790895255</v>
      </c>
      <c r="I150" s="95">
        <f>'Stations Data'!$H25-'Stations Data'!$J25-SUM(Production!$B5:'Production'!G5)+SUM(Demand!$B77:'Demand'!G77)+SUM(Demand!$B80:'Demand'!G80)+SUM(Demand!$B88:'Demand'!G88)</f>
        <v>-155714.10102411496</v>
      </c>
      <c r="J150" s="95">
        <f>'Stations Data'!$H25-'Stations Data'!$J25-SUM(Production!$B5:'Production'!H5)+SUM(Demand!$B77:'Demand'!H77)+SUM(Demand!$B80:'Demand'!H80)+SUM(Demand!$B88:'Demand'!H88)</f>
        <v>-154680.68102072031</v>
      </c>
      <c r="K150" s="95">
        <f>'Stations Data'!$H25-'Stations Data'!$J25-SUM(Production!$B5:'Production'!I5)+SUM(Demand!$B77:'Demand'!I77)+SUM(Demand!$B80:'Demand'!I80)+SUM(Demand!$B88:'Demand'!I88)</f>
        <v>-153281.69128740649</v>
      </c>
      <c r="L150" s="95">
        <f>'Stations Data'!$H25-'Stations Data'!$J25-SUM(Production!$B5:'Production'!J5)+SUM(Demand!$B77:'Demand'!J77)+SUM(Demand!$B80:'Demand'!J80)+SUM(Demand!$B88:'Demand'!J88)</f>
        <v>-151896.31676647719</v>
      </c>
      <c r="M150" s="95">
        <f>'Stations Data'!$H25-'Stations Data'!$J25-SUM(Production!$B5:'Production'!K5)+SUM(Demand!$B77:'Demand'!K77)+SUM(Demand!$B80:'Demand'!K80)+SUM(Demand!$B88:'Demand'!K88)</f>
        <v>-150977.10440047047</v>
      </c>
      <c r="N150" s="95">
        <f>'Stations Data'!$H25-'Stations Data'!$J25-SUM(Production!$B5:'Production'!L5)+SUM(Demand!$B77:'Demand'!L77)+SUM(Demand!$B80:'Demand'!L80)+SUM(Demand!$B88:'Demand'!L88)</f>
        <v>-149900.8091163637</v>
      </c>
      <c r="O150" s="95">
        <f>'Stations Data'!$H25-'Stations Data'!$J25-SUM(Production!$B5:'Production'!M5)+SUM(Demand!$B77:'Demand'!M77)+SUM(Demand!$B80:'Demand'!M80)+SUM(Demand!$B88:'Demand'!M88)</f>
        <v>-148760.86871667171</v>
      </c>
      <c r="P150" s="95">
        <f>'Stations Data'!$H25-'Stations Data'!$J25-SUM(Production!$B5:'Production'!N5)+SUM(Demand!$B77:'Demand'!N77)+SUM(Demand!$B80:'Demand'!N80)+SUM(Demand!$B88:'Demand'!N88)</f>
        <v>-147868.43190874386</v>
      </c>
      <c r="Q150" s="95">
        <f>'Stations Data'!$H25-'Stations Data'!$J25-SUM(Production!$B5:'Production'!O5)+SUM(Demand!$B77:'Demand'!O77)+SUM(Demand!$B80:'Demand'!O80)+SUM(Demand!$B88:'Demand'!O88)</f>
        <v>-146937.84816211677</v>
      </c>
      <c r="R150" s="95">
        <f>'Stations Data'!$H25-'Stations Data'!$J25-SUM(Production!$B5:'Production'!P5)+SUM(Demand!$B77:'Demand'!P77)+SUM(Demand!$B80:'Demand'!P80)+SUM(Demand!$B88:'Demand'!P88)</f>
        <v>-146135.72424830135</v>
      </c>
      <c r="S150" s="95">
        <f>'Stations Data'!$H25-'Stations Data'!$J25-SUM(Production!$B5:'Production'!Q5)+SUM(Demand!$B77:'Demand'!Q77)+SUM(Demand!$B80:'Demand'!Q80)+SUM(Demand!$B88:'Demand'!Q88)</f>
        <v>-145398.33581525076</v>
      </c>
      <c r="T150" s="95">
        <f>'Stations Data'!$H25-'Stations Data'!$J25-SUM(Production!$B5:'Production'!R5)+SUM(Demand!$B77:'Demand'!R77)+SUM(Demand!$B80:'Demand'!R80)+SUM(Demand!$B88:'Demand'!R88)</f>
        <v>-144644.63178804703</v>
      </c>
      <c r="U150" s="95">
        <f>'Stations Data'!$H25-'Stations Data'!$J25-SUM(Production!$B5:'Production'!S5)+SUM(Demand!$B77:'Demand'!S77)+SUM(Demand!$B80:'Demand'!S80)+SUM(Demand!$B88:'Demand'!S88)</f>
        <v>-143711.77717965565</v>
      </c>
      <c r="V150" s="95">
        <f>'Stations Data'!$H25-'Stations Data'!$J25-SUM(Production!$B5:'Production'!T5)+SUM(Demand!$B77:'Demand'!T77)+SUM(Demand!$B80:'Demand'!T80)+SUM(Demand!$B88:'Demand'!T88)</f>
        <v>-142982.14043145833</v>
      </c>
      <c r="W150" s="95">
        <f>'Stations Data'!$H25-'Stations Data'!$J25-SUM(Production!$B5:'Production'!U5)+SUM(Demand!$B77:'Demand'!U77)+SUM(Demand!$B80:'Demand'!U80)+SUM(Demand!$B88:'Demand'!U88)</f>
        <v>-142181.97239215748</v>
      </c>
      <c r="X150" s="95">
        <f>'Stations Data'!$H25-'Stations Data'!$J25-SUM(Production!$B5:'Production'!V5)+SUM(Demand!$B77:'Demand'!V77)+SUM(Demand!$B80:'Demand'!V80)+SUM(Demand!$B88:'Demand'!V88)</f>
        <v>-142204.90044784328</v>
      </c>
      <c r="Y150" s="95">
        <f>'Stations Data'!$H25-'Stations Data'!$J25-SUM(Production!$B5:'Production'!W5)+SUM(Demand!$B77:'Demand'!W77)+SUM(Demand!$B80:'Demand'!W80)+SUM(Demand!$B88:'Demand'!W88)</f>
        <v>-143196.30571881338</v>
      </c>
      <c r="Z150" s="95">
        <f>'Stations Data'!$H25-'Stations Data'!$J25-SUM(Production!$B5:'Production'!X5)+SUM(Demand!$B77:'Demand'!X77)+SUM(Demand!$B80:'Demand'!X80)+SUM(Demand!$B88:'Demand'!X88)</f>
        <v>-144186.95166179817</v>
      </c>
      <c r="AA150" s="98">
        <f>'Stations Data'!$L25-'Stations Data'!$J25-SUM(Production!$B5:'Production'!Y5)+SUM(Demand!$B77:'Demand'!Y77)+SUM(Demand!$B80:'Demand'!Y80)+SUM(Demand!$B88:'Demand'!Y88)</f>
        <v>2712.2999999999556</v>
      </c>
    </row>
    <row r="151" spans="1:27" s="67" customFormat="1" x14ac:dyDescent="0.35">
      <c r="A151" s="106"/>
      <c r="B151" s="106"/>
      <c r="C151" s="80" t="s">
        <v>47</v>
      </c>
      <c r="D151" s="95">
        <f>'Stations Data'!$N25-'Stations Data'!$J25-SUM(Production!$B5:'Production'!B5)+SUM(Demand!$B77:'Demand'!B77)+SUM(Demand!$B80:'Demand'!B80)+SUM(Demand!$B88:'Demand'!B88)</f>
        <v>97580.294136195851</v>
      </c>
      <c r="E151" s="95">
        <f>'Stations Data'!$N25-'Stations Data'!$J25-SUM(Production!$B5:'Production'!C5)+SUM(Demand!$B77:'Demand'!C77)+SUM(Demand!$B80:'Demand'!C80)+SUM(Demand!$B88:'Demand'!C88)</f>
        <v>96205.010658491723</v>
      </c>
      <c r="F151" s="95">
        <f>'Stations Data'!$N25-'Stations Data'!$J25-SUM(Production!$B5:'Production'!D5)+SUM(Demand!$B77:'Demand'!D77)+SUM(Demand!$B80:'Demand'!D80)+SUM(Demand!$B88:'Demand'!D88)</f>
        <v>94757.960651693487</v>
      </c>
      <c r="G151" s="95">
        <f>'Stations Data'!$N25-'Stations Data'!$J25-SUM(Production!$B5:'Production'!E5)+SUM(Demand!$B77:'Demand'!E77)+SUM(Demand!$B80:'Demand'!E80)+SUM(Demand!$B88:'Demand'!E88)</f>
        <v>93305.297149670019</v>
      </c>
      <c r="H151" s="95">
        <f>'Stations Data'!$N25-'Stations Data'!$J25-SUM(Production!$B5:'Production'!F5)+SUM(Demand!$B77:'Demand'!F77)+SUM(Demand!$B80:'Demand'!F80)+SUM(Demand!$B88:'Demand'!F88)</f>
        <v>92123.172091047396</v>
      </c>
      <c r="I151" s="95">
        <f>'Stations Data'!$N25-'Stations Data'!$J25-SUM(Production!$B5:'Production'!G5)+SUM(Demand!$B77:'Demand'!G77)+SUM(Demand!$B80:'Demand'!G80)+SUM(Demand!$B88:'Demand'!G88)</f>
        <v>91306.648975885008</v>
      </c>
      <c r="J151" s="95">
        <f>'Stations Data'!$N25-'Stations Data'!$J25-SUM(Production!$B5:'Production'!H5)+SUM(Demand!$B77:'Demand'!H77)+SUM(Demand!$B80:'Demand'!H80)+SUM(Demand!$B88:'Demand'!H88)</f>
        <v>92340.068979279647</v>
      </c>
      <c r="K151" s="95">
        <f>'Stations Data'!$N25-'Stations Data'!$J25-SUM(Production!$B5:'Production'!I5)+SUM(Demand!$B77:'Demand'!I77)+SUM(Demand!$B80:'Demand'!I80)+SUM(Demand!$B88:'Demand'!I88)</f>
        <v>93739.058712593484</v>
      </c>
      <c r="L151" s="95">
        <f>'Stations Data'!$N25-'Stations Data'!$J25-SUM(Production!$B5:'Production'!J5)+SUM(Demand!$B77:'Demand'!J77)+SUM(Demand!$B80:'Demand'!J80)+SUM(Demand!$B88:'Demand'!J88)</f>
        <v>95124.43323352281</v>
      </c>
      <c r="M151" s="95">
        <f>'Stations Data'!$N25-'Stations Data'!$J25-SUM(Production!$B5:'Production'!K5)+SUM(Demand!$B77:'Demand'!K77)+SUM(Demand!$B80:'Demand'!K80)+SUM(Demand!$B88:'Demand'!K88)</f>
        <v>96043.645599529525</v>
      </c>
      <c r="N151" s="95">
        <f>'Stations Data'!$N25-'Stations Data'!$J25-SUM(Production!$B5:'Production'!L5)+SUM(Demand!$B77:'Demand'!L77)+SUM(Demand!$B80:'Demand'!L80)+SUM(Demand!$B88:'Demand'!L88)</f>
        <v>97119.940883636271</v>
      </c>
      <c r="O151" s="95">
        <f>'Stations Data'!$N25-'Stations Data'!$J25-SUM(Production!$B5:'Production'!M5)+SUM(Demand!$B77:'Demand'!M77)+SUM(Demand!$B80:'Demand'!M80)+SUM(Demand!$B88:'Demand'!M88)</f>
        <v>98259.881283328257</v>
      </c>
      <c r="P151" s="95">
        <f>'Stations Data'!$N25-'Stations Data'!$J25-SUM(Production!$B5:'Production'!N5)+SUM(Demand!$B77:'Demand'!N77)+SUM(Demand!$B80:'Demand'!N80)+SUM(Demand!$B88:'Demand'!N88)</f>
        <v>99152.318091256122</v>
      </c>
      <c r="Q151" s="95">
        <f>'Stations Data'!$N25-'Stations Data'!$J25-SUM(Production!$B5:'Production'!O5)+SUM(Demand!$B77:'Demand'!O77)+SUM(Demand!$B80:'Demand'!O80)+SUM(Demand!$B88:'Demand'!O88)</f>
        <v>100082.9018378832</v>
      </c>
      <c r="R151" s="95">
        <f>'Stations Data'!$N25-'Stations Data'!$J25-SUM(Production!$B5:'Production'!P5)+SUM(Demand!$B77:'Demand'!P77)+SUM(Demand!$B80:'Demand'!P80)+SUM(Demand!$B88:'Demand'!P88)</f>
        <v>100885.02575169859</v>
      </c>
      <c r="S151" s="95">
        <f>'Stations Data'!$N25-'Stations Data'!$J25-SUM(Production!$B5:'Production'!Q5)+SUM(Demand!$B77:'Demand'!Q77)+SUM(Demand!$B80:'Demand'!Q80)+SUM(Demand!$B88:'Demand'!Q88)</f>
        <v>101622.4141847492</v>
      </c>
      <c r="T151" s="95">
        <f>'Stations Data'!$N25-'Stations Data'!$J25-SUM(Production!$B5:'Production'!R5)+SUM(Demand!$B77:'Demand'!R77)+SUM(Demand!$B80:'Demand'!R80)+SUM(Demand!$B88:'Demand'!R88)</f>
        <v>102376.11821195291</v>
      </c>
      <c r="U151" s="95">
        <f>'Stations Data'!$N25-'Stations Data'!$J25-SUM(Production!$B5:'Production'!S5)+SUM(Demand!$B77:'Demand'!S77)+SUM(Demand!$B80:'Demand'!S80)+SUM(Demand!$B88:'Demand'!S88)</f>
        <v>103308.97282034426</v>
      </c>
      <c r="V151" s="95">
        <f>'Stations Data'!$N25-'Stations Data'!$J25-SUM(Production!$B5:'Production'!T5)+SUM(Demand!$B77:'Demand'!T77)+SUM(Demand!$B80:'Demand'!T80)+SUM(Demand!$B88:'Demand'!T88)</f>
        <v>104038.60956854161</v>
      </c>
      <c r="W151" s="95">
        <f>'Stations Data'!$N25-'Stations Data'!$J25-SUM(Production!$B5:'Production'!U5)+SUM(Demand!$B77:'Demand'!U77)+SUM(Demand!$B80:'Demand'!U80)+SUM(Demand!$B88:'Demand'!U88)</f>
        <v>104838.77760784248</v>
      </c>
      <c r="X151" s="95">
        <f>'Stations Data'!$N25-'Stations Data'!$J25-SUM(Production!$B5:'Production'!V5)+SUM(Demand!$B77:'Demand'!V77)+SUM(Demand!$B80:'Demand'!V80)+SUM(Demand!$B88:'Demand'!V88)</f>
        <v>104815.84955215667</v>
      </c>
      <c r="Y151" s="95">
        <f>'Stations Data'!$N25-'Stations Data'!$J25-SUM(Production!$B5:'Production'!W5)+SUM(Demand!$B77:'Demand'!W77)+SUM(Demand!$B80:'Demand'!W80)+SUM(Demand!$B88:'Demand'!W88)</f>
        <v>103824.44428118654</v>
      </c>
      <c r="Z151" s="95">
        <f>'Stations Data'!$N25-'Stations Data'!$J25-SUM(Production!$B5:'Production'!X5)+SUM(Demand!$B77:'Demand'!X77)+SUM(Demand!$B80:'Demand'!X80)+SUM(Demand!$B88:'Demand'!X88)</f>
        <v>102833.7983382018</v>
      </c>
      <c r="AA151" s="95">
        <f>'Stations Data'!$N25-'Stations Data'!$J25-SUM(Production!$B5:'Production'!Y5)+SUM(Demand!$B77:'Demand'!Y77)+SUM(Demand!$B80:'Demand'!Y80)+SUM(Demand!$B88:'Demand'!Y88)</f>
        <v>101520.59999999995</v>
      </c>
    </row>
    <row r="152" spans="1:27" s="67" customFormat="1" x14ac:dyDescent="0.35">
      <c r="A152" s="106"/>
      <c r="B152" s="106"/>
      <c r="C152" s="80" t="s">
        <v>49</v>
      </c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6"/>
      <c r="R152" s="93"/>
      <c r="S152" s="93"/>
      <c r="T152" s="95"/>
      <c r="U152" s="95"/>
      <c r="V152" s="95"/>
      <c r="W152" s="95"/>
      <c r="X152" s="95"/>
      <c r="Y152" s="95"/>
      <c r="Z152" s="95"/>
      <c r="AA152" s="95"/>
    </row>
    <row r="153" spans="1:27" s="67" customFormat="1" x14ac:dyDescent="0.35">
      <c r="A153" s="106"/>
      <c r="B153" s="106"/>
      <c r="C153" s="80" t="s">
        <v>50</v>
      </c>
      <c r="D153" s="94">
        <f>(AA157-D157)</f>
        <v>0</v>
      </c>
      <c r="E153" s="93">
        <f t="shared" ref="E153:AA153" si="51">(D157-E157)</f>
        <v>0</v>
      </c>
      <c r="F153" s="93">
        <f t="shared" si="51"/>
        <v>0</v>
      </c>
      <c r="G153" s="93">
        <f t="shared" si="51"/>
        <v>0</v>
      </c>
      <c r="H153" s="93">
        <f t="shared" si="51"/>
        <v>0</v>
      </c>
      <c r="I153" s="93">
        <f t="shared" si="51"/>
        <v>0</v>
      </c>
      <c r="J153" s="93">
        <f t="shared" si="51"/>
        <v>0</v>
      </c>
      <c r="K153" s="93">
        <f t="shared" si="51"/>
        <v>0</v>
      </c>
      <c r="L153" s="93">
        <f t="shared" si="51"/>
        <v>0</v>
      </c>
      <c r="M153" s="93">
        <f t="shared" si="51"/>
        <v>0</v>
      </c>
      <c r="N153" s="93">
        <f t="shared" si="51"/>
        <v>0</v>
      </c>
      <c r="O153" s="93">
        <f t="shared" si="51"/>
        <v>0</v>
      </c>
      <c r="P153" s="93">
        <f t="shared" si="51"/>
        <v>0</v>
      </c>
      <c r="Q153" s="93">
        <f t="shared" si="51"/>
        <v>0</v>
      </c>
      <c r="R153" s="93">
        <f t="shared" si="51"/>
        <v>0</v>
      </c>
      <c r="S153" s="93">
        <f t="shared" si="51"/>
        <v>3581.5499999999993</v>
      </c>
      <c r="T153" s="93">
        <f t="shared" si="51"/>
        <v>1418.4500000000007</v>
      </c>
      <c r="U153" s="93">
        <f t="shared" si="51"/>
        <v>0</v>
      </c>
      <c r="V153" s="93">
        <f t="shared" si="51"/>
        <v>0</v>
      </c>
      <c r="W153" s="93">
        <f t="shared" si="51"/>
        <v>0</v>
      </c>
      <c r="X153" s="93">
        <f t="shared" si="51"/>
        <v>0</v>
      </c>
      <c r="Y153" s="93">
        <f t="shared" si="51"/>
        <v>0</v>
      </c>
      <c r="Z153" s="93">
        <f t="shared" si="51"/>
        <v>-5000</v>
      </c>
      <c r="AA153" s="93">
        <f t="shared" si="51"/>
        <v>0</v>
      </c>
    </row>
    <row r="154" spans="1:27" s="67" customFormat="1" x14ac:dyDescent="0.35">
      <c r="A154" s="106"/>
      <c r="B154" s="106"/>
      <c r="C154" s="80" t="s">
        <v>51</v>
      </c>
      <c r="D154" s="94">
        <f>-(AA157-D157)</f>
        <v>0</v>
      </c>
      <c r="E154" s="93">
        <f t="shared" ref="E154:AA154" si="52">-(D157-E157)</f>
        <v>0</v>
      </c>
      <c r="F154" s="93">
        <f t="shared" si="52"/>
        <v>0</v>
      </c>
      <c r="G154" s="93">
        <f t="shared" si="52"/>
        <v>0</v>
      </c>
      <c r="H154" s="93">
        <f t="shared" si="52"/>
        <v>0</v>
      </c>
      <c r="I154" s="93">
        <f t="shared" si="52"/>
        <v>0</v>
      </c>
      <c r="J154" s="93">
        <f t="shared" si="52"/>
        <v>0</v>
      </c>
      <c r="K154" s="93">
        <f t="shared" si="52"/>
        <v>0</v>
      </c>
      <c r="L154" s="93">
        <f t="shared" si="52"/>
        <v>0</v>
      </c>
      <c r="M154" s="93">
        <f t="shared" si="52"/>
        <v>0</v>
      </c>
      <c r="N154" s="93">
        <f t="shared" si="52"/>
        <v>0</v>
      </c>
      <c r="O154" s="93">
        <f t="shared" si="52"/>
        <v>0</v>
      </c>
      <c r="P154" s="93">
        <f t="shared" si="52"/>
        <v>0</v>
      </c>
      <c r="Q154" s="93">
        <f t="shared" si="52"/>
        <v>0</v>
      </c>
      <c r="R154" s="93">
        <f t="shared" si="52"/>
        <v>0</v>
      </c>
      <c r="S154" s="93">
        <f t="shared" si="52"/>
        <v>-3581.5499999999993</v>
      </c>
      <c r="T154" s="93">
        <f t="shared" si="52"/>
        <v>-1418.4500000000007</v>
      </c>
      <c r="U154" s="93">
        <f t="shared" si="52"/>
        <v>0</v>
      </c>
      <c r="V154" s="93">
        <f t="shared" si="52"/>
        <v>0</v>
      </c>
      <c r="W154" s="93">
        <f t="shared" si="52"/>
        <v>0</v>
      </c>
      <c r="X154" s="93">
        <f t="shared" si="52"/>
        <v>0</v>
      </c>
      <c r="Y154" s="93">
        <f t="shared" si="52"/>
        <v>0</v>
      </c>
      <c r="Z154" s="93">
        <f t="shared" si="52"/>
        <v>5000</v>
      </c>
      <c r="AA154" s="93">
        <f t="shared" si="52"/>
        <v>0</v>
      </c>
    </row>
    <row r="155" spans="1:27" s="67" customFormat="1" x14ac:dyDescent="0.35">
      <c r="A155" s="106"/>
      <c r="B155" s="106"/>
      <c r="C155" s="80" t="s">
        <v>52</v>
      </c>
      <c r="D155" s="95">
        <v>10000</v>
      </c>
      <c r="E155" s="93" t="s">
        <v>44</v>
      </c>
      <c r="F155" s="93"/>
      <c r="G155" s="93">
        <f>SUM(D283:AA283)</f>
        <v>10000</v>
      </c>
      <c r="H155" s="93"/>
      <c r="I155" s="93"/>
      <c r="J155" s="95"/>
      <c r="K155" s="95"/>
      <c r="L155" s="95"/>
      <c r="M155" s="95"/>
      <c r="N155" s="95"/>
      <c r="O155" s="95"/>
      <c r="P155" s="95"/>
      <c r="Q155" s="96"/>
      <c r="R155" s="93"/>
      <c r="S155" s="93"/>
      <c r="T155" s="95"/>
      <c r="U155" s="95"/>
      <c r="V155" s="95"/>
      <c r="W155" s="95"/>
      <c r="X155" s="95"/>
      <c r="Y155" s="95"/>
      <c r="Z155" s="95"/>
      <c r="AA155" s="95"/>
    </row>
    <row r="156" spans="1:27" s="67" customFormat="1" x14ac:dyDescent="0.35">
      <c r="A156" s="106"/>
      <c r="B156" s="106"/>
      <c r="C156" s="80" t="s">
        <v>48</v>
      </c>
      <c r="D156" s="93">
        <f>SUM($D139:D139)-SUM($D157:D157)-SUM($D164:D164)-SUM($D171:D171)-SUM($D178:D178)+'Stations Data'!$J25+SUM(Production!$B5:B5)-SUM(Demand!$B77:'Demand'!B77)-SUM(Demand!$B80:'Demand'!B80)-SUM(Demand!$B88:'Demand'!B88)</f>
        <v>347360.05586380413</v>
      </c>
      <c r="E156" s="93">
        <f>SUM($D139:E139)-SUM($D157:E157)-SUM($D164:E164)-SUM($D171:E171)-SUM($D178:E178)+'Stations Data'!$J25+SUM(Production!$B5:C5)-SUM(Demand!$B77:'Demand'!C77)-SUM(Demand!$B80:'Demand'!C80)-SUM(Demand!$B88:'Demand'!C88)</f>
        <v>348129.33934150822</v>
      </c>
      <c r="F156" s="93">
        <f>SUM($D139:F139)-SUM($D157:F157)-SUM($D164:F164)-SUM($D171:F171)-SUM($D178:F178)+'Stations Data'!$J25+SUM(Production!$B5:D5)-SUM(Demand!$B77:'Demand'!D77)-SUM(Demand!$B80:'Demand'!D80)-SUM(Demand!$B88:'Demand'!D88)</f>
        <v>348970.38934830652</v>
      </c>
      <c r="G156" s="93">
        <f>SUM($D139:G139)-SUM($D157:G157)-SUM($D164:G164)-SUM($D171:G171)-SUM($D178:G178)+'Stations Data'!$J25+SUM(Production!$B5:E5)-SUM(Demand!$B77:'Demand'!E77)-SUM(Demand!$B80:'Demand'!E80)-SUM(Demand!$B88:'Demand'!E88)</f>
        <v>349024.27641032997</v>
      </c>
      <c r="H156" s="93">
        <f>SUM($D139:H139)-SUM($D157:H157)-SUM($D164:H164)-SUM($D171:H171)-SUM($D178:H178)+'Stations Data'!$J25+SUM(Production!$B5:F5)-SUM(Demand!$B77:'Demand'!F77)-SUM(Demand!$B80:'Demand'!F80)-SUM(Demand!$B88:'Demand'!F88)</f>
        <v>348809.3712289526</v>
      </c>
      <c r="I156" s="93">
        <f>SUM($D139:I139)-SUM($D157:I157)-SUM($D164:I164)-SUM($D171:I171)-SUM($D178:I178)+'Stations Data'!$J25+SUM(Production!$B5:G5)-SUM(Demand!$B77:'Demand'!G77)-SUM(Demand!$B80:'Demand'!G80)-SUM(Demand!$B88:'Demand'!G88)</f>
        <v>347683.732224115</v>
      </c>
      <c r="J156" s="93">
        <f>SUM($D139:J139)-SUM($D157:J157)-SUM($D164:J164)-SUM($D171:J171)-SUM($D178:J178)+'Stations Data'!$J25+SUM(Production!$B5:H5)-SUM(Demand!$B77:'Demand'!H77)-SUM(Demand!$B80:'Demand'!H80)-SUM(Demand!$B88:'Demand'!H88)</f>
        <v>344384.2293207203</v>
      </c>
      <c r="K156" s="93">
        <f>SUM($D139:K139)-SUM($D157:K157)-SUM($D164:K164)-SUM($D171:K171)-SUM($D178:K178)+'Stations Data'!$J25+SUM(Production!$B5:I5)-SUM(Demand!$B77:'Demand'!I77)-SUM(Demand!$B80:'Demand'!I80)-SUM(Demand!$B88:'Demand'!I88)</f>
        <v>340483.42438740644</v>
      </c>
      <c r="L156" s="93">
        <f>SUM($D139:L139)-SUM($D157:L157)-SUM($D164:L164)-SUM($D171:L171)-SUM($D178:L178)+'Stations Data'!$J25+SUM(Production!$B5:J5)-SUM(Demand!$B77:'Demand'!J77)-SUM(Demand!$B80:'Demand'!J80)-SUM(Demand!$B88:'Demand'!J88)</f>
        <v>336594.48846647714</v>
      </c>
      <c r="M156" s="93">
        <f>SUM($D139:M139)-SUM($D157:M157)-SUM($D164:M164)-SUM($D171:M171)-SUM($D178:M178)+'Stations Data'!$J25+SUM(Production!$B5:K5)-SUM(Demand!$B77:'Demand'!K77)-SUM(Demand!$B80:'Demand'!K80)-SUM(Demand!$B88:'Demand'!K88)</f>
        <v>333284.34480047046</v>
      </c>
      <c r="N156" s="93">
        <f>SUM($D139:N139)-SUM($D157:N157)-SUM($D164:N164)-SUM($D171:N171)-SUM($D178:N178)+'Stations Data'!$J25+SUM(Production!$B5:L5)-SUM(Demand!$B77:'Demand'!L77)-SUM(Demand!$B80:'Demand'!L80)-SUM(Demand!$B88:'Demand'!L88)</f>
        <v>330412.01171636366</v>
      </c>
      <c r="O156" s="93">
        <f>SUM($D139:O139)-SUM($D157:O157)-SUM($D164:O164)-SUM($D171:O171)-SUM($D178:O178)+'Stations Data'!$J25+SUM(Production!$B5:M5)-SUM(Demand!$B77:'Demand'!M77)-SUM(Demand!$B80:'Demand'!M80)-SUM(Demand!$B88:'Demand'!M88)</f>
        <v>327530.16591667174</v>
      </c>
      <c r="P156" s="93">
        <f>SUM($D139:P139)-SUM($D157:P157)-SUM($D164:P164)-SUM($D171:P171)-SUM($D178:P178)+'Stations Data'!$J25+SUM(Production!$B5:N5)-SUM(Demand!$B77:'Demand'!N77)-SUM(Demand!$B80:'Demand'!N80)-SUM(Demand!$B88:'Demand'!N88)</f>
        <v>324990.99170874385</v>
      </c>
      <c r="Q156" s="93">
        <f>SUM($D139:Q139)-SUM($D157:Q157)-SUM($D164:Q164)-SUM($D171:Q171)-SUM($D178:Q178)+'Stations Data'!$J25+SUM(Production!$B5:O5)-SUM(Demand!$B77:'Demand'!O77)-SUM(Demand!$B80:'Demand'!O80)-SUM(Demand!$B88:'Demand'!O88)</f>
        <v>325091.84306211688</v>
      </c>
      <c r="R156" s="93">
        <f>SUM($D139:R139)-SUM($D157:R157)-SUM($D164:R164)-SUM($D171:R171)-SUM($D178:R178)+'Stations Data'!$J25+SUM(Production!$B5:P5)-SUM(Demand!$B77:'Demand'!P77)-SUM(Demand!$B80:'Demand'!P80)-SUM(Demand!$B88:'Demand'!P88)</f>
        <v>325319.40804830141</v>
      </c>
      <c r="S156" s="93">
        <f>SUM($D139:S139)-SUM($D157:S157)-SUM($D164:S164)-SUM($D171:S171)-SUM($D178:S178)+'Stations Data'!$J25+SUM(Production!$B5:Q5)-SUM(Demand!$B77:'Demand'!Q77)-SUM(Demand!$B80:'Demand'!Q80)-SUM(Demand!$B88:'Demand'!Q88)</f>
        <v>329197.62401525077</v>
      </c>
      <c r="T156" s="93">
        <f>SUM($D139:T139)-SUM($D157:T157)-SUM($D164:T164)-SUM($D171:T171)-SUM($D178:T178)+'Stations Data'!$J25+SUM(Production!$B5:R5)-SUM(Demand!$B77:'Demand'!R77)-SUM(Demand!$B80:'Demand'!R80)-SUM(Demand!$B88:'Demand'!R88)</f>
        <v>331736.41168804711</v>
      </c>
      <c r="U156" s="93">
        <f>SUM($D139:U139)-SUM($D157:U157)-SUM($D164:U164)-SUM($D171:U171)-SUM($D178:U178)+'Stations Data'!$J25+SUM(Production!$B5:S5)-SUM(Demand!$B77:'Demand'!S77)-SUM(Demand!$B80:'Demand'!S80)-SUM(Demand!$B88:'Demand'!S88)</f>
        <v>334132.71907965583</v>
      </c>
      <c r="V156" s="93">
        <f>SUM($D139:V139)-SUM($D157:V157)-SUM($D164:V164)-SUM($D171:V171)-SUM($D178:V178)+'Stations Data'!$J25+SUM(Production!$B5:T5)-SUM(Demand!$B77:'Demand'!T77)-SUM(Demand!$B80:'Demand'!T80)-SUM(Demand!$B88:'Demand'!T88)</f>
        <v>336746.21395145857</v>
      </c>
      <c r="W156" s="93">
        <f>SUM($D139:W139)-SUM($D157:W157)-SUM($D164:W164)-SUM($D171:W171)-SUM($D178:W178)+'Stations Data'!$J25+SUM(Production!$B5:U5)-SUM(Demand!$B77:'Demand'!U77)-SUM(Demand!$B80:'Demand'!U80)-SUM(Demand!$B88:'Demand'!U88)</f>
        <v>339226.3142121578</v>
      </c>
      <c r="X156" s="93">
        <f>SUM($D139:X139)-SUM($D157:X157)-SUM($D164:X164)-SUM($D171:X171)-SUM($D178:X178)+'Stations Data'!$J25+SUM(Production!$B5:V5)-SUM(Demand!$B77:'Demand'!V77)-SUM(Demand!$B80:'Demand'!V80)-SUM(Demand!$B88:'Demand'!V88)</f>
        <v>342566.18083784357</v>
      </c>
      <c r="Y156" s="93">
        <f>SUM($D139:Y139)-SUM($D157:Y157)-SUM($D164:Y164)-SUM($D171:Y171)-SUM($D178:Y178)+'Stations Data'!$J25+SUM(Production!$B5:W5)-SUM(Demand!$B77:'Demand'!W77)-SUM(Demand!$B80:'Demand'!W80)-SUM(Demand!$B88:'Demand'!W88)</f>
        <v>346982.78929881385</v>
      </c>
      <c r="Z156" s="93">
        <f>SUM($D139:Z139)-SUM($D157:Z157)-SUM($D164:Z164)-SUM($D171:Z171)-SUM($D178:Z178)+'Stations Data'!$J25+SUM(Production!$B5:X5)-SUM(Demand!$B77:'Demand'!X77)-SUM(Demand!$B80:'Demand'!X80)-SUM(Demand!$B88:'Demand'!X88)</f>
        <v>346190.94763179857</v>
      </c>
      <c r="AA156" s="93">
        <f>SUM($D139:AA139)-SUM($D157:AA157)-SUM($D164:AA164)-SUM($D171:AA171)-SUM($D178:AA178)+'Stations Data'!$J25+SUM(Production!$B5:Y5)-SUM(Demand!$B77:'Demand'!Y77)-SUM(Demand!$B80:'Demand'!Y80)-SUM(Demand!$B88:'Demand'!Y88)</f>
        <v>345829.04989000037</v>
      </c>
    </row>
    <row r="157" spans="1:27" s="67" customFormat="1" x14ac:dyDescent="0.35">
      <c r="A157" s="106"/>
      <c r="B157" s="106"/>
      <c r="C157" s="81" t="s">
        <v>101</v>
      </c>
      <c r="D157" s="95">
        <f>D284</f>
        <v>28406</v>
      </c>
      <c r="E157" s="93">
        <f t="shared" ref="E157:AA157" si="53">E284</f>
        <v>28406</v>
      </c>
      <c r="F157" s="93">
        <f t="shared" si="53"/>
        <v>28406</v>
      </c>
      <c r="G157" s="93">
        <f t="shared" si="53"/>
        <v>28406</v>
      </c>
      <c r="H157" s="93">
        <f t="shared" si="53"/>
        <v>28406</v>
      </c>
      <c r="I157" s="93">
        <f t="shared" si="53"/>
        <v>28406</v>
      </c>
      <c r="J157" s="93">
        <f t="shared" si="53"/>
        <v>28406</v>
      </c>
      <c r="K157" s="93">
        <f t="shared" si="53"/>
        <v>28406</v>
      </c>
      <c r="L157" s="93">
        <f t="shared" si="53"/>
        <v>28406</v>
      </c>
      <c r="M157" s="93">
        <f t="shared" si="53"/>
        <v>28406</v>
      </c>
      <c r="N157" s="93">
        <f t="shared" si="53"/>
        <v>28406</v>
      </c>
      <c r="O157" s="93">
        <f t="shared" si="53"/>
        <v>28406</v>
      </c>
      <c r="P157" s="93">
        <f t="shared" si="53"/>
        <v>28406</v>
      </c>
      <c r="Q157" s="93">
        <f t="shared" si="53"/>
        <v>28406</v>
      </c>
      <c r="R157" s="93">
        <f t="shared" si="53"/>
        <v>28406</v>
      </c>
      <c r="S157" s="93">
        <f t="shared" si="53"/>
        <v>24824.45</v>
      </c>
      <c r="T157" s="93">
        <f t="shared" si="53"/>
        <v>23406</v>
      </c>
      <c r="U157" s="93">
        <f t="shared" si="53"/>
        <v>23406</v>
      </c>
      <c r="V157" s="93">
        <f t="shared" si="53"/>
        <v>23406</v>
      </c>
      <c r="W157" s="93">
        <f t="shared" si="53"/>
        <v>23406</v>
      </c>
      <c r="X157" s="93">
        <f t="shared" si="53"/>
        <v>23406</v>
      </c>
      <c r="Y157" s="93">
        <f t="shared" si="53"/>
        <v>23406</v>
      </c>
      <c r="Z157" s="93">
        <f t="shared" si="53"/>
        <v>28406</v>
      </c>
      <c r="AA157" s="93">
        <f t="shared" si="53"/>
        <v>28406</v>
      </c>
    </row>
    <row r="158" spans="1:27" x14ac:dyDescent="0.35">
      <c r="A158" s="106"/>
      <c r="B158" s="106"/>
      <c r="C158" s="85" t="s">
        <v>102</v>
      </c>
      <c r="D158" s="95">
        <f>SUM(D157:AA157)/4545</f>
        <v>142.60999999999999</v>
      </c>
      <c r="E158" s="93" t="s">
        <v>5</v>
      </c>
      <c r="H158" s="95">
        <f>D158*4545*'Stations Data'!B26</f>
        <v>524121.18337956158</v>
      </c>
      <c r="I158" s="93" t="s">
        <v>77</v>
      </c>
      <c r="L158" s="95">
        <f>SUMPRODUCT(D148:AA148,D157:AA157)</f>
        <v>103516.64067071698</v>
      </c>
      <c r="M158" s="95" t="s">
        <v>71</v>
      </c>
      <c r="N158" s="95"/>
      <c r="O158" s="95">
        <f>(SUM(D158*4545/24*D148,D158*4545/24*E148,D158*4545/24*F148,D158*4545/24*G148,D158*4545/24*H148,D158*4545/24*I148,D158*4545/24*J148,D158*4545/24*K148,D158*4545/24*L148,D158*4545/24*M148,D158*4545/24*N148,D158*4545/24*O148,D158*4545/24*P148,D158*4545/24*Q148,D158*4545/24*R148,D158*4545/24*S148,D158*4545/24*T148,D158*4545/24*U148,D158*4545/24*V148,D158*4545/24*W148,D158*4545/24*X148,D158*4545/24*Y148,D158*4545/24*Z148,D158*4545/24*AA148)-SUMPRODUCT(D148:AA148,D157:AA157))</f>
        <v>1812.0626441981731</v>
      </c>
      <c r="P158" s="93" t="s">
        <v>70</v>
      </c>
      <c r="Q158" s="95"/>
      <c r="R158" s="93">
        <f>(D158*4545/24-T157)*'Stations Data'!B26</f>
        <v>2911.676198345252</v>
      </c>
      <c r="S158" s="96" t="s">
        <v>28</v>
      </c>
      <c r="U158" s="93">
        <f>AA156-'Stations Data'!L25</f>
        <v>-1.0999961523339152E-4</v>
      </c>
      <c r="AA158" s="95"/>
    </row>
    <row r="159" spans="1:27" x14ac:dyDescent="0.35">
      <c r="A159" s="106"/>
      <c r="B159" s="107" t="s">
        <v>193</v>
      </c>
      <c r="C159" s="80" t="s">
        <v>74</v>
      </c>
      <c r="D159" s="92">
        <f>'Stations Data'!$B27*Demand!B3</f>
        <v>7.7520337964994218E-2</v>
      </c>
      <c r="E159" s="92">
        <f>'Stations Data'!$B27*Demand!C3</f>
        <v>5.5103201272086802E-2</v>
      </c>
      <c r="F159" s="92">
        <f>'Stations Data'!$B27*Demand!D3</f>
        <v>5.5103201272086802E-2</v>
      </c>
      <c r="G159" s="92">
        <f>'Stations Data'!$B27*Demand!E3</f>
        <v>5.5103201272086802E-2</v>
      </c>
      <c r="H159" s="92">
        <f>'Stations Data'!$B27*Demand!F3</f>
        <v>4.2619406586815005E-2</v>
      </c>
      <c r="I159" s="92">
        <f>'Stations Data'!$B27*Demand!G3</f>
        <v>4.2619406586815005E-2</v>
      </c>
      <c r="J159" s="92">
        <f>'Stations Data'!$B27*Demand!H3</f>
        <v>4.2619406586815005E-2</v>
      </c>
      <c r="K159" s="92">
        <f>'Stations Data'!$B27*Demand!I3</f>
        <v>4.1344180247996916E-2</v>
      </c>
      <c r="L159" s="92">
        <f>'Stations Data'!$B27*Demand!J3</f>
        <v>4.1344180247996916E-2</v>
      </c>
      <c r="M159" s="92">
        <f>'Stations Data'!$B27*Demand!K3</f>
        <v>4.1344180247996916E-2</v>
      </c>
      <c r="N159" s="92">
        <f>'Stations Data'!$B27*Demand!L3</f>
        <v>5.9331583342904656E-2</v>
      </c>
      <c r="O159" s="92">
        <f>'Stations Data'!$B27*Demand!M3</f>
        <v>5.9331583342904656E-2</v>
      </c>
      <c r="P159" s="92">
        <f>'Stations Data'!$B27*Demand!N3</f>
        <v>5.9331583342904656E-2</v>
      </c>
      <c r="Q159" s="92">
        <f>'Stations Data'!$B27*Demand!O3</f>
        <v>8.208430591444843E-2</v>
      </c>
      <c r="R159" s="92">
        <f>'Stations Data'!$B27*Demand!P3</f>
        <v>8.208430591444843E-2</v>
      </c>
      <c r="S159" s="92">
        <f>'Stations Data'!$B27*Demand!Q3</f>
        <v>8.208430591444843E-2</v>
      </c>
      <c r="T159" s="92">
        <f>'Stations Data'!$B27*Demand!R3</f>
        <v>9.1916972158493149E-2</v>
      </c>
      <c r="U159" s="92">
        <f>'Stations Data'!$B27*Demand!S3</f>
        <v>9.1916972158493149E-2</v>
      </c>
      <c r="V159" s="92">
        <f>'Stations Data'!$B27*Demand!T3</f>
        <v>9.1916972158493149E-2</v>
      </c>
      <c r="W159" s="92">
        <f>'Stations Data'!$B27*Demand!U3</f>
        <v>8.9601429595902407E-2</v>
      </c>
      <c r="X159" s="92">
        <f>'Stations Data'!$B27*Demand!V3</f>
        <v>8.9601429595902407E-2</v>
      </c>
      <c r="Y159" s="92">
        <f>'Stations Data'!$B27*Demand!W3</f>
        <v>8.9601429595902407E-2</v>
      </c>
      <c r="Z159" s="92">
        <f>'Stations Data'!$B27*Demand!X3</f>
        <v>7.7520337964994218E-2</v>
      </c>
      <c r="AA159" s="92">
        <f>'Stations Data'!$B27*Demand!Y3</f>
        <v>7.7520337964994218E-2</v>
      </c>
    </row>
    <row r="160" spans="1:27" s="67" customFormat="1" x14ac:dyDescent="0.35">
      <c r="A160" s="106"/>
      <c r="B160" s="107"/>
      <c r="C160" s="80" t="s">
        <v>49</v>
      </c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6"/>
      <c r="R160" s="93"/>
      <c r="S160" s="93"/>
      <c r="T160" s="95"/>
      <c r="U160" s="95"/>
      <c r="V160" s="95"/>
      <c r="W160" s="95"/>
      <c r="X160" s="95"/>
      <c r="Y160" s="95"/>
      <c r="Z160" s="95"/>
      <c r="AA160" s="95"/>
    </row>
    <row r="161" spans="1:27" s="67" customFormat="1" x14ac:dyDescent="0.35">
      <c r="A161" s="106"/>
      <c r="B161" s="107"/>
      <c r="C161" s="80" t="s">
        <v>50</v>
      </c>
      <c r="D161" s="94">
        <f>(AA164-D164)</f>
        <v>0</v>
      </c>
      <c r="E161" s="93">
        <f>(D164-E164)</f>
        <v>0</v>
      </c>
      <c r="F161" s="93">
        <f t="shared" ref="F161:Z161" si="54">(E164-F164)</f>
        <v>0</v>
      </c>
      <c r="G161" s="93">
        <f t="shared" si="54"/>
        <v>0</v>
      </c>
      <c r="H161" s="93">
        <f t="shared" si="54"/>
        <v>0</v>
      </c>
      <c r="I161" s="93">
        <f t="shared" si="54"/>
        <v>0</v>
      </c>
      <c r="J161" s="93">
        <f t="shared" si="54"/>
        <v>0</v>
      </c>
      <c r="K161" s="93">
        <f t="shared" si="54"/>
        <v>0</v>
      </c>
      <c r="L161" s="93">
        <f t="shared" si="54"/>
        <v>0</v>
      </c>
      <c r="M161" s="93">
        <f t="shared" si="54"/>
        <v>0</v>
      </c>
      <c r="N161" s="93">
        <f t="shared" si="54"/>
        <v>0</v>
      </c>
      <c r="O161" s="93">
        <f t="shared" si="54"/>
        <v>0</v>
      </c>
      <c r="P161" s="93">
        <f t="shared" si="54"/>
        <v>0</v>
      </c>
      <c r="Q161" s="93">
        <f t="shared" si="54"/>
        <v>0</v>
      </c>
      <c r="R161" s="93">
        <f t="shared" si="54"/>
        <v>0</v>
      </c>
      <c r="S161" s="93">
        <f t="shared" si="54"/>
        <v>0</v>
      </c>
      <c r="T161" s="93">
        <f t="shared" si="54"/>
        <v>0</v>
      </c>
      <c r="U161" s="93">
        <f t="shared" si="54"/>
        <v>0</v>
      </c>
      <c r="V161" s="93">
        <f>(U164-V164)</f>
        <v>0</v>
      </c>
      <c r="W161" s="93">
        <f t="shared" si="54"/>
        <v>0</v>
      </c>
      <c r="X161" s="93">
        <f t="shared" si="54"/>
        <v>0</v>
      </c>
      <c r="Y161" s="93">
        <f t="shared" si="54"/>
        <v>0</v>
      </c>
      <c r="Z161" s="93">
        <f t="shared" si="54"/>
        <v>0</v>
      </c>
      <c r="AA161" s="93">
        <f>(Z164-AA164)</f>
        <v>0</v>
      </c>
    </row>
    <row r="162" spans="1:27" s="67" customFormat="1" x14ac:dyDescent="0.35">
      <c r="A162" s="106"/>
      <c r="B162" s="107"/>
      <c r="C162" s="80" t="s">
        <v>51</v>
      </c>
      <c r="D162" s="94">
        <f>-(AA164-D164)</f>
        <v>0</v>
      </c>
      <c r="E162" s="93">
        <f>-(D164-E164)</f>
        <v>0</v>
      </c>
      <c r="F162" s="93">
        <f t="shared" ref="F162:Z162" si="55">-(E164-F164)</f>
        <v>0</v>
      </c>
      <c r="G162" s="93">
        <f t="shared" si="55"/>
        <v>0</v>
      </c>
      <c r="H162" s="93">
        <f t="shared" si="55"/>
        <v>0</v>
      </c>
      <c r="I162" s="93">
        <f t="shared" si="55"/>
        <v>0</v>
      </c>
      <c r="J162" s="93">
        <f t="shared" si="55"/>
        <v>0</v>
      </c>
      <c r="K162" s="93">
        <f t="shared" si="55"/>
        <v>0</v>
      </c>
      <c r="L162" s="93">
        <f t="shared" si="55"/>
        <v>0</v>
      </c>
      <c r="M162" s="93">
        <f t="shared" si="55"/>
        <v>0</v>
      </c>
      <c r="N162" s="93">
        <f t="shared" si="55"/>
        <v>0</v>
      </c>
      <c r="O162" s="93">
        <f t="shared" si="55"/>
        <v>0</v>
      </c>
      <c r="P162" s="93">
        <f t="shared" si="55"/>
        <v>0</v>
      </c>
      <c r="Q162" s="93">
        <f t="shared" si="55"/>
        <v>0</v>
      </c>
      <c r="R162" s="93">
        <f t="shared" si="55"/>
        <v>0</v>
      </c>
      <c r="S162" s="93">
        <f t="shared" si="55"/>
        <v>0</v>
      </c>
      <c r="T162" s="93">
        <f t="shared" si="55"/>
        <v>0</v>
      </c>
      <c r="U162" s="93">
        <f t="shared" si="55"/>
        <v>0</v>
      </c>
      <c r="V162" s="93">
        <f>-(U164-V164)</f>
        <v>0</v>
      </c>
      <c r="W162" s="93">
        <f t="shared" si="55"/>
        <v>0</v>
      </c>
      <c r="X162" s="93">
        <f t="shared" si="55"/>
        <v>0</v>
      </c>
      <c r="Y162" s="93">
        <f t="shared" si="55"/>
        <v>0</v>
      </c>
      <c r="Z162" s="93">
        <f t="shared" si="55"/>
        <v>0</v>
      </c>
      <c r="AA162" s="93">
        <f>-(Z164-AA164)</f>
        <v>0</v>
      </c>
    </row>
    <row r="163" spans="1:27" s="67" customFormat="1" x14ac:dyDescent="0.35">
      <c r="A163" s="106"/>
      <c r="B163" s="107"/>
      <c r="C163" s="80" t="s">
        <v>52</v>
      </c>
      <c r="D163" s="95">
        <v>3000</v>
      </c>
      <c r="E163" s="93" t="s">
        <v>44</v>
      </c>
      <c r="F163" s="93"/>
      <c r="G163" s="93">
        <f>SUM(D285:AA285)</f>
        <v>3000</v>
      </c>
      <c r="H163" s="93"/>
      <c r="I163" s="93"/>
      <c r="J163" s="95"/>
      <c r="K163" s="95"/>
      <c r="L163" s="95"/>
      <c r="M163" s="95"/>
      <c r="N163" s="95"/>
      <c r="O163" s="95"/>
      <c r="P163" s="95"/>
      <c r="Q163" s="96"/>
      <c r="R163" s="93"/>
      <c r="S163" s="93"/>
      <c r="T163" s="95"/>
      <c r="U163" s="95"/>
      <c r="V163" s="95"/>
      <c r="W163" s="95"/>
      <c r="X163" s="95"/>
      <c r="Y163" s="95"/>
      <c r="Z163" s="95"/>
      <c r="AA163" s="95"/>
    </row>
    <row r="164" spans="1:27" s="67" customFormat="1" x14ac:dyDescent="0.35">
      <c r="A164" s="106"/>
      <c r="B164" s="107"/>
      <c r="C164" s="81" t="s">
        <v>103</v>
      </c>
      <c r="D164" s="95">
        <f>D286</f>
        <v>3000</v>
      </c>
      <c r="E164" s="93">
        <f t="shared" ref="E164:AA164" si="56">E286</f>
        <v>3000</v>
      </c>
      <c r="F164" s="93">
        <f t="shared" si="56"/>
        <v>3000</v>
      </c>
      <c r="G164" s="93">
        <f t="shared" si="56"/>
        <v>3000</v>
      </c>
      <c r="H164" s="93">
        <f t="shared" si="56"/>
        <v>3000</v>
      </c>
      <c r="I164" s="93">
        <f t="shared" si="56"/>
        <v>3000</v>
      </c>
      <c r="J164" s="93">
        <f t="shared" si="56"/>
        <v>3000</v>
      </c>
      <c r="K164" s="93">
        <f t="shared" si="56"/>
        <v>3000</v>
      </c>
      <c r="L164" s="93">
        <f t="shared" si="56"/>
        <v>3000</v>
      </c>
      <c r="M164" s="93">
        <f t="shared" si="56"/>
        <v>3000</v>
      </c>
      <c r="N164" s="93">
        <f t="shared" si="56"/>
        <v>3000</v>
      </c>
      <c r="O164" s="93">
        <f t="shared" si="56"/>
        <v>3000</v>
      </c>
      <c r="P164" s="93">
        <f t="shared" si="56"/>
        <v>3000</v>
      </c>
      <c r="Q164" s="93">
        <f t="shared" si="56"/>
        <v>3000</v>
      </c>
      <c r="R164" s="93">
        <f t="shared" si="56"/>
        <v>3000</v>
      </c>
      <c r="S164" s="93">
        <f t="shared" si="56"/>
        <v>3000</v>
      </c>
      <c r="T164" s="93">
        <f t="shared" si="56"/>
        <v>3000</v>
      </c>
      <c r="U164" s="93">
        <f t="shared" si="56"/>
        <v>3000</v>
      </c>
      <c r="V164" s="93">
        <f t="shared" si="56"/>
        <v>3000</v>
      </c>
      <c r="W164" s="93">
        <f t="shared" si="56"/>
        <v>3000</v>
      </c>
      <c r="X164" s="93">
        <f t="shared" si="56"/>
        <v>3000</v>
      </c>
      <c r="Y164" s="93">
        <f t="shared" si="56"/>
        <v>3000</v>
      </c>
      <c r="Z164" s="93">
        <f t="shared" si="56"/>
        <v>3000</v>
      </c>
      <c r="AA164" s="93">
        <f t="shared" si="56"/>
        <v>3000</v>
      </c>
    </row>
    <row r="165" spans="1:27" x14ac:dyDescent="0.35">
      <c r="A165" s="106"/>
      <c r="B165" s="107"/>
      <c r="C165" s="85" t="s">
        <v>78</v>
      </c>
      <c r="D165" s="95">
        <f>SUM(D164:AA164)/4545</f>
        <v>15.841584158415841</v>
      </c>
      <c r="E165" s="93" t="s">
        <v>5</v>
      </c>
      <c r="H165" s="95">
        <f>D165*4545*'Stations Data'!B27</f>
        <v>24162.183261816379</v>
      </c>
      <c r="I165" s="93" t="s">
        <v>77</v>
      </c>
      <c r="L165" s="95">
        <f>SUMPRODUCT(D159:AA159,D164:AA164)</f>
        <v>4855.6927537527727</v>
      </c>
      <c r="M165" s="95" t="s">
        <v>71</v>
      </c>
      <c r="N165" s="95"/>
      <c r="O165" s="95">
        <f>(SUM(D165*4545/24*D159,D165*4545/24*E159,D165*4545/24*F159,D165*4545/24*G159,D165*4545/24*H159,D165*4545/24*I159,D165*4545/24*J159,D165*4545/24*K159,D165*4545/24*L159,D165*4545/24*M159,D165*4545/24*N159,D165*4545/24*O159,D165*4545/24*P159,D165*4545/24*Q159,D165*4545/24*R159,D165*4545/24*S159,D165*4545/24*T159,D165*4545/24*U159,D165*4545/24*V159,D165*4545/24*W159,D165*4545/24*X159,D165*4545/24*Y159,D165*4545/24*Z159,D165*4545/24*AA159)-SUMPRODUCT(D159:AA159,D164:AA164))</f>
        <v>0</v>
      </c>
      <c r="P165" s="93" t="s">
        <v>70</v>
      </c>
      <c r="Q165" s="95"/>
      <c r="R165" s="93">
        <f>((D165*4545/24)*4-SUM(Q164:T164))*'Stations Data'!B27</f>
        <v>0</v>
      </c>
      <c r="S165" s="96"/>
      <c r="AA165" s="95"/>
    </row>
    <row r="166" spans="1:27" ht="14.5" customHeight="1" x14ac:dyDescent="0.35">
      <c r="A166" s="106"/>
      <c r="B166" s="107" t="s">
        <v>194</v>
      </c>
      <c r="C166" s="80" t="s">
        <v>251</v>
      </c>
      <c r="D166" s="92">
        <f>'Stations Data'!$B28*Demand!B3</f>
        <v>1.0461493992173719E-2</v>
      </c>
      <c r="E166" s="92">
        <f>'Stations Data'!$B28*Demand!C3</f>
        <v>7.4362654264715352E-3</v>
      </c>
      <c r="F166" s="92">
        <f>'Stations Data'!$B28*Demand!D3</f>
        <v>7.4362654264715352E-3</v>
      </c>
      <c r="G166" s="92">
        <f>'Stations Data'!$B28*Demand!E3</f>
        <v>7.4362654264715352E-3</v>
      </c>
      <c r="H166" s="92">
        <f>'Stations Data'!$B28*Demand!F3</f>
        <v>5.751557303056546E-3</v>
      </c>
      <c r="I166" s="92">
        <f>'Stations Data'!$B28*Demand!G3</f>
        <v>5.751557303056546E-3</v>
      </c>
      <c r="J166" s="92">
        <f>'Stations Data'!$B28*Demand!H3</f>
        <v>5.751557303056546E-3</v>
      </c>
      <c r="K166" s="92">
        <f>'Stations Data'!$B28*Demand!I3</f>
        <v>5.5794634624926499E-3</v>
      </c>
      <c r="L166" s="92">
        <f>'Stations Data'!$B28*Demand!J3</f>
        <v>5.5794634624926499E-3</v>
      </c>
      <c r="M166" s="92">
        <f>'Stations Data'!$B28*Demand!K3</f>
        <v>5.5794634624926499E-3</v>
      </c>
      <c r="N166" s="92">
        <f>'Stations Data'!$B28*Demand!L3</f>
        <v>8.0068923714991906E-3</v>
      </c>
      <c r="O166" s="92">
        <f>'Stations Data'!$B28*Demand!M3</f>
        <v>8.0068923714991906E-3</v>
      </c>
      <c r="P166" s="92">
        <f>'Stations Data'!$B28*Demand!N3</f>
        <v>8.0068923714991906E-3</v>
      </c>
      <c r="Q166" s="92">
        <f>'Stations Data'!$B28*Demand!O3</f>
        <v>1.1077408789981348E-2</v>
      </c>
      <c r="R166" s="92">
        <f>'Stations Data'!$B28*Demand!P3</f>
        <v>1.1077408789981348E-2</v>
      </c>
      <c r="S166" s="92">
        <f>'Stations Data'!$B28*Demand!Q3</f>
        <v>1.1077408789981348E-2</v>
      </c>
      <c r="T166" s="92">
        <f>'Stations Data'!$B28*Demand!R3</f>
        <v>1.2404342876434552E-2</v>
      </c>
      <c r="U166" s="92">
        <f>'Stations Data'!$B28*Demand!S3</f>
        <v>1.2404342876434552E-2</v>
      </c>
      <c r="V166" s="92">
        <f>'Stations Data'!$B28*Demand!T3</f>
        <v>1.2404342876434552E-2</v>
      </c>
      <c r="W166" s="92">
        <f>'Stations Data'!$B28*Demand!U3</f>
        <v>1.2091856692252739E-2</v>
      </c>
      <c r="X166" s="92">
        <f>'Stations Data'!$B28*Demand!V3</f>
        <v>1.2091856692252739E-2</v>
      </c>
      <c r="Y166" s="92">
        <f>'Stations Data'!$B28*Demand!W3</f>
        <v>1.2091856692252739E-2</v>
      </c>
      <c r="Z166" s="92">
        <f>'Stations Data'!$B28*Demand!X3</f>
        <v>1.0461493992173719E-2</v>
      </c>
      <c r="AA166" s="92">
        <f>'Stations Data'!$B28*Demand!Y3</f>
        <v>1.0461493992173719E-2</v>
      </c>
    </row>
    <row r="167" spans="1:27" s="67" customFormat="1" x14ac:dyDescent="0.35">
      <c r="A167" s="106"/>
      <c r="B167" s="107"/>
      <c r="C167" s="80" t="s">
        <v>49</v>
      </c>
      <c r="D167" s="95">
        <f>Demand!B62</f>
        <v>0</v>
      </c>
      <c r="E167" s="95">
        <f>Demand!C62</f>
        <v>0</v>
      </c>
      <c r="F167" s="95">
        <f>Demand!D62</f>
        <v>0</v>
      </c>
      <c r="G167" s="95">
        <f>Demand!E62</f>
        <v>792.7764397697955</v>
      </c>
      <c r="H167" s="95">
        <f>Demand!F62</f>
        <v>791.03023615796792</v>
      </c>
      <c r="I167" s="95">
        <f>Demand!G62</f>
        <v>926.36101607461796</v>
      </c>
      <c r="J167" s="95">
        <f>Demand!H62</f>
        <v>1250.2817860686644</v>
      </c>
      <c r="K167" s="95">
        <f>Demand!I62</f>
        <v>1417.9173328041279</v>
      </c>
      <c r="L167" s="95">
        <f>Demand!J62</f>
        <v>1419.6635364159556</v>
      </c>
      <c r="M167" s="95">
        <f>Demand!K62</f>
        <v>1307.0334034530661</v>
      </c>
      <c r="N167" s="95">
        <f>Demand!L62</f>
        <v>1190.0377614606073</v>
      </c>
      <c r="O167" s="95">
        <f>Demand!M62</f>
        <v>1135.9054494939471</v>
      </c>
      <c r="P167" s="95">
        <f>Demand!N62</f>
        <v>1040.7373526493352</v>
      </c>
      <c r="Q167" s="95">
        <f>Demand!O62</f>
        <v>1062.5648977971819</v>
      </c>
      <c r="R167" s="95">
        <f>Demand!P62</f>
        <v>1064.3111014090098</v>
      </c>
      <c r="S167" s="95">
        <f>Demand!Q62</f>
        <v>1059.9455923794405</v>
      </c>
      <c r="T167" s="95">
        <f>Demand!R62</f>
        <v>1005.8132804127803</v>
      </c>
      <c r="U167" s="95">
        <f>Demand!S62</f>
        <v>969.14300456439764</v>
      </c>
      <c r="V167" s="95">
        <f>Demand!T62</f>
        <v>955.17337566977562</v>
      </c>
      <c r="W167" s="95">
        <f>Demand!U62</f>
        <v>1018.0367056955745</v>
      </c>
      <c r="X167" s="95">
        <f>Demand!V62</f>
        <v>981.36642984719185</v>
      </c>
      <c r="Y167" s="95">
        <f>Demand!W62</f>
        <v>873.10180591387177</v>
      </c>
      <c r="Z167" s="95">
        <f>Demand!X62</f>
        <v>921.99550704504861</v>
      </c>
      <c r="AA167" s="95">
        <f>Demand!Y62</f>
        <v>814.60398491764238</v>
      </c>
    </row>
    <row r="168" spans="1:27" s="67" customFormat="1" x14ac:dyDescent="0.35">
      <c r="A168" s="106"/>
      <c r="B168" s="107"/>
      <c r="C168" s="80" t="s">
        <v>50</v>
      </c>
      <c r="D168" s="94">
        <f>(AA171-D171)</f>
        <v>814.60397999999998</v>
      </c>
      <c r="E168" s="93">
        <f>(D171-E171)</f>
        <v>0</v>
      </c>
      <c r="F168" s="93">
        <f t="shared" ref="F168:Z168" si="57">(E171-F171)</f>
        <v>0</v>
      </c>
      <c r="G168" s="93">
        <f t="shared" si="57"/>
        <v>-792.77643999999998</v>
      </c>
      <c r="H168" s="93">
        <f t="shared" si="57"/>
        <v>1.7461999999999307</v>
      </c>
      <c r="I168" s="93">
        <f t="shared" si="57"/>
        <v>-135.33078</v>
      </c>
      <c r="J168" s="93">
        <f t="shared" si="57"/>
        <v>-323.92077999999992</v>
      </c>
      <c r="K168" s="93">
        <f t="shared" si="57"/>
        <v>-167.63550000000009</v>
      </c>
      <c r="L168" s="93">
        <f t="shared" si="57"/>
        <v>-1.7462000000000444</v>
      </c>
      <c r="M168" s="93">
        <f t="shared" si="57"/>
        <v>112.63010000000008</v>
      </c>
      <c r="N168" s="93">
        <f t="shared" si="57"/>
        <v>116.99559999999997</v>
      </c>
      <c r="O168" s="93">
        <f t="shared" si="57"/>
        <v>54.132399999999961</v>
      </c>
      <c r="P168" s="93">
        <f t="shared" si="57"/>
        <v>95.16800000000012</v>
      </c>
      <c r="Q168" s="93">
        <f t="shared" si="57"/>
        <v>-21.8275000000001</v>
      </c>
      <c r="R168" s="93">
        <f t="shared" si="57"/>
        <v>-1.746199999999817</v>
      </c>
      <c r="S168" s="93">
        <f t="shared" si="57"/>
        <v>4.3654999999998836</v>
      </c>
      <c r="T168" s="93">
        <f t="shared" si="57"/>
        <v>54.132299999999987</v>
      </c>
      <c r="U168" s="93">
        <f t="shared" si="57"/>
        <v>36.670299999999997</v>
      </c>
      <c r="V168" s="93">
        <f>(U171-V171)</f>
        <v>13.969620000000077</v>
      </c>
      <c r="W168" s="93">
        <f t="shared" si="57"/>
        <v>-62.863320000000044</v>
      </c>
      <c r="X168" s="93">
        <f t="shared" si="57"/>
        <v>36.67026999999996</v>
      </c>
      <c r="Y168" s="93">
        <f t="shared" si="57"/>
        <v>108.26462000000004</v>
      </c>
      <c r="Z168" s="93">
        <f t="shared" si="57"/>
        <v>-48.893699999999967</v>
      </c>
      <c r="AA168" s="93">
        <f>(Z171-AA171)</f>
        <v>107.39152999999999</v>
      </c>
    </row>
    <row r="169" spans="1:27" s="67" customFormat="1" x14ac:dyDescent="0.35">
      <c r="A169" s="106"/>
      <c r="B169" s="107"/>
      <c r="C169" s="80" t="s">
        <v>51</v>
      </c>
      <c r="D169" s="94">
        <f>-(AA171-D171)</f>
        <v>-814.60397999999998</v>
      </c>
      <c r="E169" s="93">
        <f>-(D171-E171)</f>
        <v>0</v>
      </c>
      <c r="F169" s="93">
        <f t="shared" ref="F169:Z169" si="58">-(E171-F171)</f>
        <v>0</v>
      </c>
      <c r="G169" s="93">
        <f t="shared" si="58"/>
        <v>792.77643999999998</v>
      </c>
      <c r="H169" s="93">
        <f t="shared" si="58"/>
        <v>-1.7461999999999307</v>
      </c>
      <c r="I169" s="93">
        <f t="shared" si="58"/>
        <v>135.33078</v>
      </c>
      <c r="J169" s="93">
        <f t="shared" si="58"/>
        <v>323.92077999999992</v>
      </c>
      <c r="K169" s="93">
        <f t="shared" si="58"/>
        <v>167.63550000000009</v>
      </c>
      <c r="L169" s="93">
        <f t="shared" si="58"/>
        <v>1.7462000000000444</v>
      </c>
      <c r="M169" s="93">
        <f t="shared" si="58"/>
        <v>-112.63010000000008</v>
      </c>
      <c r="N169" s="93">
        <f t="shared" si="58"/>
        <v>-116.99559999999997</v>
      </c>
      <c r="O169" s="93">
        <f t="shared" si="58"/>
        <v>-54.132399999999961</v>
      </c>
      <c r="P169" s="93">
        <f t="shared" si="58"/>
        <v>-95.16800000000012</v>
      </c>
      <c r="Q169" s="93">
        <f t="shared" si="58"/>
        <v>21.8275000000001</v>
      </c>
      <c r="R169" s="93">
        <f t="shared" si="58"/>
        <v>1.746199999999817</v>
      </c>
      <c r="S169" s="93">
        <f t="shared" si="58"/>
        <v>-4.3654999999998836</v>
      </c>
      <c r="T169" s="93">
        <f t="shared" si="58"/>
        <v>-54.132299999999987</v>
      </c>
      <c r="U169" s="93">
        <f t="shared" si="58"/>
        <v>-36.670299999999997</v>
      </c>
      <c r="V169" s="93">
        <f>-(U171-V171)</f>
        <v>-13.969620000000077</v>
      </c>
      <c r="W169" s="93">
        <f t="shared" si="58"/>
        <v>62.863320000000044</v>
      </c>
      <c r="X169" s="93">
        <f t="shared" si="58"/>
        <v>-36.67026999999996</v>
      </c>
      <c r="Y169" s="93">
        <f t="shared" si="58"/>
        <v>-108.26462000000004</v>
      </c>
      <c r="Z169" s="93">
        <f t="shared" si="58"/>
        <v>48.893699999999967</v>
      </c>
      <c r="AA169" s="93">
        <f>-(Z171-AA171)</f>
        <v>-107.39152999999999</v>
      </c>
    </row>
    <row r="170" spans="1:27" s="67" customFormat="1" x14ac:dyDescent="0.35">
      <c r="A170" s="106"/>
      <c r="B170" s="107"/>
      <c r="C170" s="80" t="s">
        <v>52</v>
      </c>
      <c r="D170" s="95">
        <v>10000</v>
      </c>
      <c r="E170" s="93" t="s">
        <v>44</v>
      </c>
      <c r="F170" s="93"/>
      <c r="G170" s="93">
        <f>SUM(D287:AA287)</f>
        <v>10000.000024199997</v>
      </c>
      <c r="H170" s="93"/>
      <c r="I170" s="93"/>
      <c r="J170" s="95"/>
      <c r="K170" s="95"/>
      <c r="L170" s="95"/>
      <c r="M170" s="95"/>
      <c r="N170" s="95"/>
      <c r="O170" s="95"/>
      <c r="P170" s="95"/>
      <c r="Q170" s="96"/>
      <c r="R170" s="93"/>
      <c r="S170" s="93"/>
      <c r="T170" s="95"/>
      <c r="U170" s="95"/>
      <c r="V170" s="95"/>
      <c r="W170" s="95"/>
      <c r="X170" s="95"/>
      <c r="Y170" s="95"/>
      <c r="Z170" s="95"/>
      <c r="AA170" s="95"/>
    </row>
    <row r="171" spans="1:27" s="67" customFormat="1" x14ac:dyDescent="0.35">
      <c r="A171" s="106"/>
      <c r="B171" s="107"/>
      <c r="C171" s="81" t="s">
        <v>253</v>
      </c>
      <c r="D171" s="95">
        <f>D288</f>
        <v>0</v>
      </c>
      <c r="E171" s="95">
        <f t="shared" ref="E171:AA171" si="59">E288</f>
        <v>0</v>
      </c>
      <c r="F171" s="95">
        <f t="shared" si="59"/>
        <v>0</v>
      </c>
      <c r="G171" s="95">
        <f t="shared" si="59"/>
        <v>792.77643999999998</v>
      </c>
      <c r="H171" s="95">
        <f t="shared" si="59"/>
        <v>791.03024000000005</v>
      </c>
      <c r="I171" s="95">
        <f t="shared" si="59"/>
        <v>926.36102000000005</v>
      </c>
      <c r="J171" s="95">
        <f t="shared" si="59"/>
        <v>1250.2818</v>
      </c>
      <c r="K171" s="95">
        <f t="shared" si="59"/>
        <v>1417.9173000000001</v>
      </c>
      <c r="L171" s="95">
        <f t="shared" si="59"/>
        <v>1419.6635000000001</v>
      </c>
      <c r="M171" s="95">
        <f t="shared" si="59"/>
        <v>1307.0334</v>
      </c>
      <c r="N171" s="95">
        <f t="shared" si="59"/>
        <v>1190.0378000000001</v>
      </c>
      <c r="O171" s="95">
        <f t="shared" si="59"/>
        <v>1135.9054000000001</v>
      </c>
      <c r="P171" s="95">
        <f t="shared" si="59"/>
        <v>1040.7374</v>
      </c>
      <c r="Q171" s="95">
        <f t="shared" si="59"/>
        <v>1062.5649000000001</v>
      </c>
      <c r="R171" s="95">
        <f t="shared" si="59"/>
        <v>1064.3110999999999</v>
      </c>
      <c r="S171" s="95">
        <f t="shared" si="59"/>
        <v>1059.9456</v>
      </c>
      <c r="T171" s="95">
        <f t="shared" si="59"/>
        <v>1005.8133</v>
      </c>
      <c r="U171" s="95">
        <f t="shared" si="59"/>
        <v>969.14300000000003</v>
      </c>
      <c r="V171" s="95">
        <f t="shared" si="59"/>
        <v>955.17337999999995</v>
      </c>
      <c r="W171" s="95">
        <f t="shared" si="59"/>
        <v>1018.0367</v>
      </c>
      <c r="X171" s="95">
        <f t="shared" si="59"/>
        <v>981.36643000000004</v>
      </c>
      <c r="Y171" s="95">
        <f t="shared" si="59"/>
        <v>873.10181</v>
      </c>
      <c r="Z171" s="95">
        <f t="shared" si="59"/>
        <v>921.99550999999997</v>
      </c>
      <c r="AA171" s="95">
        <f t="shared" si="59"/>
        <v>814.60397999999998</v>
      </c>
    </row>
    <row r="172" spans="1:27" s="67" customFormat="1" x14ac:dyDescent="0.35">
      <c r="A172" s="106"/>
      <c r="B172" s="107"/>
      <c r="C172" s="85" t="s">
        <v>252</v>
      </c>
      <c r="D172" s="95">
        <f>SUM(D171:AA171)/4545</f>
        <v>4.8400000022002194</v>
      </c>
      <c r="E172" s="93" t="s">
        <v>5</v>
      </c>
      <c r="F172" s="93"/>
      <c r="G172" s="93"/>
      <c r="H172" s="95">
        <f>D172*4545*'Stations Data'!B28</f>
        <v>996.23312833616421</v>
      </c>
      <c r="I172" s="93" t="s">
        <v>77</v>
      </c>
      <c r="J172" s="93"/>
      <c r="K172" s="93"/>
      <c r="L172" s="95">
        <f>SUMPRODUCT(D166:AA166,D171:AA171)</f>
        <v>197.59481244225776</v>
      </c>
      <c r="M172" s="95" t="s">
        <v>71</v>
      </c>
      <c r="N172" s="95"/>
      <c r="O172" s="95">
        <f>(SUM(D172*4545/24*D166,D172*4545/24*E166,D172*4545/24*F166,D172*4545/24*G166,D172*4545/24*H166,D172*4545/24*I166,D172*4545/24*J166,D172*4545/24*K166,D172*4545/24*L166,D172*4545/24*M166,D172*4545/24*N166,D172*4545/24*O166,D172*4545/24*P166,D172*4545/24*Q166,D172*4545/24*R166,D172*4545/24*S166,D172*4545/24*T166,D172*4545/24*U166,D172*4545/24*V166,D172*4545/24*W166,D172*4545/24*X166,D172*4545/24*Y166,D172*4545/24*Z166,D172*4545/24*AA166)-SUMPRODUCT(D166:AA166,D171:AA171))</f>
        <v>2.6106876109986388</v>
      </c>
      <c r="P172" s="93" t="s">
        <v>70</v>
      </c>
      <c r="Q172" s="95"/>
      <c r="R172" s="93">
        <f>(1000-0)*'Stations Data'!B28</f>
        <v>45.287852779972802</v>
      </c>
      <c r="S172" s="96"/>
      <c r="T172" s="93"/>
      <c r="U172" s="93"/>
      <c r="V172" s="93"/>
      <c r="W172" s="93"/>
      <c r="X172" s="93"/>
      <c r="Y172" s="93"/>
      <c r="Z172" s="93"/>
      <c r="AA172" s="95"/>
    </row>
    <row r="173" spans="1:27" s="67" customFormat="1" x14ac:dyDescent="0.35">
      <c r="A173" s="106"/>
      <c r="B173" s="106" t="s">
        <v>195</v>
      </c>
      <c r="C173" s="80" t="s">
        <v>73</v>
      </c>
      <c r="D173" s="92">
        <f>'Stations Data'!$B29*Demand!B3</f>
        <v>6.5603999999999996E-2</v>
      </c>
      <c r="E173" s="92">
        <f>'Stations Data'!$B29*Demand!C3</f>
        <v>4.6632800000000002E-2</v>
      </c>
      <c r="F173" s="92">
        <f>'Stations Data'!$B29*Demand!D3</f>
        <v>4.6632800000000002E-2</v>
      </c>
      <c r="G173" s="92">
        <f>'Stations Data'!$B29*Demand!E3</f>
        <v>4.6632800000000002E-2</v>
      </c>
      <c r="H173" s="92">
        <f>'Stations Data'!$B29*Demand!F3</f>
        <v>3.6067999999999996E-2</v>
      </c>
      <c r="I173" s="92">
        <f>'Stations Data'!$B29*Demand!G3</f>
        <v>3.6067999999999996E-2</v>
      </c>
      <c r="J173" s="92">
        <f>'Stations Data'!$B29*Demand!H3</f>
        <v>3.6067999999999996E-2</v>
      </c>
      <c r="K173" s="92">
        <f>'Stations Data'!$B29*Demand!I3</f>
        <v>3.49888E-2</v>
      </c>
      <c r="L173" s="92">
        <f>'Stations Data'!$B29*Demand!J3</f>
        <v>3.49888E-2</v>
      </c>
      <c r="M173" s="92">
        <f>'Stations Data'!$B29*Demand!K3</f>
        <v>3.49888E-2</v>
      </c>
      <c r="N173" s="92">
        <f>'Stations Data'!$B29*Demand!L3</f>
        <v>5.0211199999999991E-2</v>
      </c>
      <c r="O173" s="92">
        <f>'Stations Data'!$B29*Demand!M3</f>
        <v>5.0211199999999991E-2</v>
      </c>
      <c r="P173" s="92">
        <f>'Stations Data'!$B29*Demand!N3</f>
        <v>5.0211199999999991E-2</v>
      </c>
      <c r="Q173" s="92">
        <f>'Stations Data'!$B29*Demand!O3</f>
        <v>6.9466399999999998E-2</v>
      </c>
      <c r="R173" s="92">
        <f>'Stations Data'!$B29*Demand!P3</f>
        <v>6.9466399999999998E-2</v>
      </c>
      <c r="S173" s="92">
        <f>'Stations Data'!$B29*Demand!Q3</f>
        <v>6.9466399999999998E-2</v>
      </c>
      <c r="T173" s="92">
        <f>'Stations Data'!$B29*Demand!R3</f>
        <v>7.7787599999999998E-2</v>
      </c>
      <c r="U173" s="92">
        <f>'Stations Data'!$B29*Demand!S3</f>
        <v>7.7787599999999998E-2</v>
      </c>
      <c r="V173" s="92">
        <f>'Stations Data'!$B29*Demand!T3</f>
        <v>7.7787599999999998E-2</v>
      </c>
      <c r="W173" s="92">
        <f>'Stations Data'!$B29*Demand!U3</f>
        <v>7.5827999999999993E-2</v>
      </c>
      <c r="X173" s="92">
        <f>'Stations Data'!$B29*Demand!V3</f>
        <v>7.5827999999999993E-2</v>
      </c>
      <c r="Y173" s="92">
        <f>'Stations Data'!$B29*Demand!W3</f>
        <v>7.5827999999999993E-2</v>
      </c>
      <c r="Z173" s="92">
        <f>'Stations Data'!$B29*Demand!X3</f>
        <v>6.5603999999999996E-2</v>
      </c>
      <c r="AA173" s="92">
        <f>'Stations Data'!$B29*Demand!Y3</f>
        <v>6.5603999999999996E-2</v>
      </c>
    </row>
    <row r="174" spans="1:27" s="67" customFormat="1" x14ac:dyDescent="0.35">
      <c r="A174" s="106"/>
      <c r="B174" s="106"/>
      <c r="C174" s="80" t="s">
        <v>49</v>
      </c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6"/>
      <c r="R174" s="93"/>
      <c r="S174" s="93"/>
      <c r="T174" s="95"/>
      <c r="U174" s="95"/>
      <c r="V174" s="95"/>
      <c r="W174" s="95"/>
      <c r="X174" s="95"/>
      <c r="Y174" s="95"/>
      <c r="Z174" s="95"/>
      <c r="AA174" s="95"/>
    </row>
    <row r="175" spans="1:27" s="67" customFormat="1" x14ac:dyDescent="0.35">
      <c r="A175" s="106"/>
      <c r="B175" s="106"/>
      <c r="C175" s="80" t="s">
        <v>50</v>
      </c>
      <c r="D175" s="94">
        <f>(AA178-D178)</f>
        <v>572.10210000000006</v>
      </c>
      <c r="E175" s="93">
        <f>(D178-E178)</f>
        <v>-909</v>
      </c>
      <c r="F175" s="93">
        <f t="shared" ref="F175:Z175" si="60">(E178-F178)</f>
        <v>0</v>
      </c>
      <c r="G175" s="93">
        <f t="shared" si="60"/>
        <v>0</v>
      </c>
      <c r="H175" s="93">
        <f t="shared" si="60"/>
        <v>0</v>
      </c>
      <c r="I175" s="93">
        <f t="shared" si="60"/>
        <v>-409.80110000000013</v>
      </c>
      <c r="J175" s="93">
        <f t="shared" si="60"/>
        <v>0</v>
      </c>
      <c r="K175" s="93">
        <f t="shared" si="60"/>
        <v>-68.096799999999803</v>
      </c>
      <c r="L175" s="93">
        <f t="shared" si="60"/>
        <v>0</v>
      </c>
      <c r="M175" s="93">
        <f t="shared" si="60"/>
        <v>0</v>
      </c>
      <c r="N175" s="93">
        <f t="shared" si="60"/>
        <v>477.89789999999994</v>
      </c>
      <c r="O175" s="93">
        <f t="shared" si="60"/>
        <v>0</v>
      </c>
      <c r="P175" s="93">
        <f t="shared" si="60"/>
        <v>0</v>
      </c>
      <c r="Q175" s="93">
        <f t="shared" si="60"/>
        <v>2700</v>
      </c>
      <c r="R175" s="93">
        <f t="shared" si="60"/>
        <v>0</v>
      </c>
      <c r="S175" s="93">
        <f t="shared" si="60"/>
        <v>0</v>
      </c>
      <c r="T175" s="93">
        <f t="shared" si="60"/>
        <v>0</v>
      </c>
      <c r="U175" s="93">
        <f t="shared" si="60"/>
        <v>0</v>
      </c>
      <c r="V175" s="93">
        <f>(U178-V178)</f>
        <v>0</v>
      </c>
      <c r="W175" s="93">
        <f t="shared" si="60"/>
        <v>0</v>
      </c>
      <c r="X175" s="93">
        <f t="shared" si="60"/>
        <v>0</v>
      </c>
      <c r="Y175" s="93">
        <f t="shared" si="60"/>
        <v>0</v>
      </c>
      <c r="Z175" s="93">
        <f t="shared" si="60"/>
        <v>-2363.1021000000001</v>
      </c>
      <c r="AA175" s="93">
        <f>(Z178-AA178)</f>
        <v>0</v>
      </c>
    </row>
    <row r="176" spans="1:27" s="67" customFormat="1" x14ac:dyDescent="0.35">
      <c r="A176" s="106"/>
      <c r="B176" s="106"/>
      <c r="C176" s="80" t="s">
        <v>51</v>
      </c>
      <c r="D176" s="94">
        <f>-(AA178-D178)</f>
        <v>-572.10210000000006</v>
      </c>
      <c r="E176" s="93">
        <f>-(D178-E178)</f>
        <v>909</v>
      </c>
      <c r="F176" s="93">
        <f t="shared" ref="F176:Z176" si="61">-(E178-F178)</f>
        <v>0</v>
      </c>
      <c r="G176" s="93">
        <f t="shared" si="61"/>
        <v>0</v>
      </c>
      <c r="H176" s="93">
        <f t="shared" si="61"/>
        <v>0</v>
      </c>
      <c r="I176" s="93">
        <f t="shared" si="61"/>
        <v>409.80110000000013</v>
      </c>
      <c r="J176" s="93">
        <f t="shared" si="61"/>
        <v>0</v>
      </c>
      <c r="K176" s="93">
        <f t="shared" si="61"/>
        <v>68.096799999999803</v>
      </c>
      <c r="L176" s="93">
        <f t="shared" si="61"/>
        <v>0</v>
      </c>
      <c r="M176" s="93">
        <f t="shared" si="61"/>
        <v>0</v>
      </c>
      <c r="N176" s="93">
        <f t="shared" si="61"/>
        <v>-477.89789999999994</v>
      </c>
      <c r="O176" s="93">
        <f t="shared" si="61"/>
        <v>0</v>
      </c>
      <c r="P176" s="93">
        <f t="shared" si="61"/>
        <v>0</v>
      </c>
      <c r="Q176" s="93">
        <f t="shared" si="61"/>
        <v>-2700</v>
      </c>
      <c r="R176" s="93">
        <f t="shared" si="61"/>
        <v>0</v>
      </c>
      <c r="S176" s="93">
        <f t="shared" si="61"/>
        <v>0</v>
      </c>
      <c r="T176" s="93">
        <f t="shared" si="61"/>
        <v>0</v>
      </c>
      <c r="U176" s="93">
        <f t="shared" si="61"/>
        <v>0</v>
      </c>
      <c r="V176" s="93">
        <f>-(U178-V178)</f>
        <v>0</v>
      </c>
      <c r="W176" s="93">
        <f t="shared" si="61"/>
        <v>0</v>
      </c>
      <c r="X176" s="93">
        <f t="shared" si="61"/>
        <v>0</v>
      </c>
      <c r="Y176" s="93">
        <f t="shared" si="61"/>
        <v>0</v>
      </c>
      <c r="Z176" s="93">
        <f t="shared" si="61"/>
        <v>2363.1021000000001</v>
      </c>
      <c r="AA176" s="93">
        <f>-(Z178-AA178)</f>
        <v>0</v>
      </c>
    </row>
    <row r="177" spans="1:27" s="67" customFormat="1" x14ac:dyDescent="0.35">
      <c r="A177" s="106"/>
      <c r="B177" s="106"/>
      <c r="C177" s="80" t="s">
        <v>52</v>
      </c>
      <c r="D177" s="95">
        <v>7500</v>
      </c>
      <c r="E177" s="93" t="s">
        <v>44</v>
      </c>
      <c r="F177" s="93"/>
      <c r="G177" s="93">
        <f>SUM(D289:AA289)</f>
        <v>7499.9999910000006</v>
      </c>
      <c r="H177" s="93"/>
      <c r="I177" s="93"/>
      <c r="J177" s="95"/>
      <c r="K177" s="95"/>
      <c r="L177" s="95"/>
      <c r="M177" s="95"/>
      <c r="N177" s="95"/>
      <c r="O177" s="95"/>
      <c r="P177" s="95"/>
      <c r="Q177" s="96"/>
      <c r="R177" s="93"/>
      <c r="S177" s="93"/>
      <c r="T177" s="95"/>
      <c r="U177" s="95"/>
      <c r="V177" s="95"/>
      <c r="W177" s="95"/>
      <c r="X177" s="95"/>
      <c r="Y177" s="95"/>
      <c r="Z177" s="95"/>
      <c r="AA177" s="95"/>
    </row>
    <row r="178" spans="1:27" s="67" customFormat="1" x14ac:dyDescent="0.35">
      <c r="A178" s="106"/>
      <c r="B178" s="106"/>
      <c r="C178" s="84" t="s">
        <v>76</v>
      </c>
      <c r="D178" s="95">
        <f>D290</f>
        <v>1791</v>
      </c>
      <c r="E178" s="93">
        <f t="shared" ref="E178:AA178" si="62">E290</f>
        <v>2700</v>
      </c>
      <c r="F178" s="93">
        <f t="shared" si="62"/>
        <v>2700</v>
      </c>
      <c r="G178" s="93">
        <f t="shared" si="62"/>
        <v>2700</v>
      </c>
      <c r="H178" s="93">
        <f t="shared" si="62"/>
        <v>2700</v>
      </c>
      <c r="I178" s="93">
        <f t="shared" si="62"/>
        <v>3109.8011000000001</v>
      </c>
      <c r="J178" s="93">
        <f t="shared" si="62"/>
        <v>3109.8011000000001</v>
      </c>
      <c r="K178" s="93">
        <f t="shared" si="62"/>
        <v>3177.8978999999999</v>
      </c>
      <c r="L178" s="93">
        <f t="shared" si="62"/>
        <v>3177.8978999999999</v>
      </c>
      <c r="M178" s="93">
        <f t="shared" si="62"/>
        <v>3177.8978999999999</v>
      </c>
      <c r="N178" s="93">
        <f t="shared" si="62"/>
        <v>2700</v>
      </c>
      <c r="O178" s="93">
        <f t="shared" si="62"/>
        <v>2700</v>
      </c>
      <c r="P178" s="93">
        <f t="shared" si="62"/>
        <v>2700</v>
      </c>
      <c r="Q178" s="93">
        <f t="shared" si="62"/>
        <v>0</v>
      </c>
      <c r="R178" s="93">
        <f t="shared" si="62"/>
        <v>0</v>
      </c>
      <c r="S178" s="93">
        <f t="shared" si="62"/>
        <v>0</v>
      </c>
      <c r="T178" s="93">
        <f t="shared" si="62"/>
        <v>0</v>
      </c>
      <c r="U178" s="93">
        <f t="shared" si="62"/>
        <v>0</v>
      </c>
      <c r="V178" s="93">
        <f t="shared" si="62"/>
        <v>0</v>
      </c>
      <c r="W178" s="93">
        <f t="shared" si="62"/>
        <v>0</v>
      </c>
      <c r="X178" s="93">
        <f t="shared" si="62"/>
        <v>0</v>
      </c>
      <c r="Y178" s="93">
        <f t="shared" si="62"/>
        <v>0</v>
      </c>
      <c r="Z178" s="93">
        <f t="shared" si="62"/>
        <v>2363.1021000000001</v>
      </c>
      <c r="AA178" s="93">
        <f t="shared" si="62"/>
        <v>2363.1021000000001</v>
      </c>
    </row>
    <row r="179" spans="1:27" x14ac:dyDescent="0.35">
      <c r="A179" s="106"/>
      <c r="B179" s="106"/>
      <c r="C179" s="85" t="s">
        <v>79</v>
      </c>
      <c r="D179" s="100">
        <f>SUM(D178:AA178)/4545</f>
        <v>9.0584158635863599</v>
      </c>
      <c r="E179" s="93" t="s">
        <v>5</v>
      </c>
      <c r="H179" s="95">
        <f>D179*4545*'Stations Data'!B29</f>
        <v>11692.4220284</v>
      </c>
      <c r="I179" s="93" t="s">
        <v>77</v>
      </c>
      <c r="L179" s="95">
        <f>SUMPRODUCT(D173:AA173,D178:AA178)</f>
        <v>1867.27577861696</v>
      </c>
      <c r="M179" s="95" t="s">
        <v>71</v>
      </c>
      <c r="N179" s="95"/>
      <c r="O179" s="95">
        <f>(SUM(D179*4545/24*D173,D179*4545/24*E173,D179*4545/24*F173,D179*4545/24*G173,D179*4545/24*H173,D179*4545/24*I173,D179*4545/24*J173,D179*4545/24*K173,D179*4545/24*L173,D179*4545/24*M173,D179*4545/24*N173,D179*4545/24*O173,D179*4545/24*P173,D179*4545/24*Q173,D179*4545/24*R173,D179*4545/24*S173,D179*4545/24*T173,D179*4545/24*U173,D179*4545/24*V173,D179*4545/24*W173,D179*4545/24*X173,D179*4545/24*Y173,D179*4545/24*Z173,D179*4545/24*AA173)-SUMPRODUCT(D173:AA173,D178:AA178))</f>
        <v>482.46258326537554</v>
      </c>
      <c r="P179" s="93" t="s">
        <v>70</v>
      </c>
      <c r="Q179" s="95"/>
      <c r="R179" s="93">
        <f>(D179*4545/24-T178)*'Stations Data'!B29</f>
        <v>487.18425118333334</v>
      </c>
      <c r="S179" s="96"/>
      <c r="AA179" s="95"/>
    </row>
    <row r="180" spans="1:27" s="45" customFormat="1" x14ac:dyDescent="0.35">
      <c r="A180" s="105" t="s">
        <v>196</v>
      </c>
      <c r="B180" s="105"/>
      <c r="C180" s="86" t="s">
        <v>32</v>
      </c>
      <c r="D180" s="92">
        <f>'Stations Data'!$B30*Demand!B3</f>
        <v>7.9533300000000001E-2</v>
      </c>
      <c r="E180" s="92">
        <f>'Stations Data'!$B30*Demand!C3</f>
        <v>5.6534060000000004E-2</v>
      </c>
      <c r="F180" s="92">
        <f>'Stations Data'!$B30*Demand!D3</f>
        <v>5.6534060000000004E-2</v>
      </c>
      <c r="G180" s="92">
        <f>'Stations Data'!$B30*Demand!E3</f>
        <v>5.6534060000000004E-2</v>
      </c>
      <c r="H180" s="92">
        <f>'Stations Data'!$B30*Demand!F3</f>
        <v>4.3726099999999997E-2</v>
      </c>
      <c r="I180" s="92">
        <f>'Stations Data'!$B30*Demand!G3</f>
        <v>4.3726099999999997E-2</v>
      </c>
      <c r="J180" s="92">
        <f>'Stations Data'!$B30*Demand!H3</f>
        <v>4.3726099999999997E-2</v>
      </c>
      <c r="K180" s="92">
        <f>'Stations Data'!$B30*Demand!I3</f>
        <v>4.2417759999999999E-2</v>
      </c>
      <c r="L180" s="92">
        <f>'Stations Data'!$B30*Demand!J3</f>
        <v>4.2417759999999999E-2</v>
      </c>
      <c r="M180" s="92">
        <f>'Stations Data'!$B30*Demand!K3</f>
        <v>4.2417759999999999E-2</v>
      </c>
      <c r="N180" s="92">
        <f>'Stations Data'!$B30*Demand!L3</f>
        <v>6.0872239999999994E-2</v>
      </c>
      <c r="O180" s="92">
        <f>'Stations Data'!$B30*Demand!M3</f>
        <v>6.0872239999999994E-2</v>
      </c>
      <c r="P180" s="92">
        <f>'Stations Data'!$B30*Demand!N3</f>
        <v>6.0872239999999994E-2</v>
      </c>
      <c r="Q180" s="92">
        <f>'Stations Data'!$B30*Demand!O3</f>
        <v>8.4215780000000004E-2</v>
      </c>
      <c r="R180" s="92">
        <f>'Stations Data'!$B30*Demand!P3</f>
        <v>8.4215780000000004E-2</v>
      </c>
      <c r="S180" s="92">
        <f>'Stations Data'!$B30*Demand!Q3</f>
        <v>8.4215780000000004E-2</v>
      </c>
      <c r="T180" s="92">
        <f>'Stations Data'!$B30*Demand!R3</f>
        <v>9.4303770000000009E-2</v>
      </c>
      <c r="U180" s="92">
        <f>'Stations Data'!$B30*Demand!S3</f>
        <v>9.4303770000000009E-2</v>
      </c>
      <c r="V180" s="92">
        <f>'Stations Data'!$B30*Demand!T3</f>
        <v>9.4303770000000009E-2</v>
      </c>
      <c r="W180" s="92">
        <f>'Stations Data'!$B30*Demand!U3</f>
        <v>9.1928099999999999E-2</v>
      </c>
      <c r="X180" s="92">
        <f>'Stations Data'!$B30*Demand!V3</f>
        <v>9.1928099999999999E-2</v>
      </c>
      <c r="Y180" s="92">
        <f>'Stations Data'!$B30*Demand!W3</f>
        <v>9.1928099999999999E-2</v>
      </c>
      <c r="Z180" s="92">
        <f>'Stations Data'!$B30*Demand!X3</f>
        <v>7.9533300000000001E-2</v>
      </c>
      <c r="AA180" s="92">
        <f>'Stations Data'!$B30*Demand!Y3</f>
        <v>7.9533300000000001E-2</v>
      </c>
    </row>
    <row r="181" spans="1:27" x14ac:dyDescent="0.35">
      <c r="A181" s="105"/>
      <c r="B181" s="105"/>
      <c r="C181" s="80" t="s">
        <v>45</v>
      </c>
      <c r="D181" s="95">
        <f>SUM($D178:D178)-SUM($D189:D189)</f>
        <v>-909</v>
      </c>
      <c r="E181" s="95">
        <f>SUM($D178:E178)-SUM($D189:E189)</f>
        <v>-909</v>
      </c>
      <c r="F181" s="95">
        <f>SUM($D178:F178)-SUM($D189:F189)</f>
        <v>-909</v>
      </c>
      <c r="G181" s="95">
        <f>SUM($D178:G178)-SUM($D189:G189)</f>
        <v>-909</v>
      </c>
      <c r="H181" s="95">
        <f>SUM($D178:H178)-SUM($D189:H189)</f>
        <v>-909</v>
      </c>
      <c r="I181" s="95">
        <f>SUM($D178:I178)-SUM($D189:I189)</f>
        <v>-499.19889999999941</v>
      </c>
      <c r="J181" s="95">
        <f>SUM($D178:J178)-SUM($D189:J189)</f>
        <v>-89.397799999998824</v>
      </c>
      <c r="K181" s="95">
        <f>SUM($D178:K178)-SUM($D189:K189)</f>
        <v>388.50010000000111</v>
      </c>
      <c r="L181" s="95">
        <f>SUM($D178:L178)-SUM($D189:L189)</f>
        <v>866.39800000000105</v>
      </c>
      <c r="M181" s="95">
        <f>SUM($D178:M178)-SUM($D189:M189)</f>
        <v>1344.295900000001</v>
      </c>
      <c r="N181" s="95">
        <f>SUM($D178:N178)-SUM($D189:N189)</f>
        <v>1344.295900000001</v>
      </c>
      <c r="O181" s="95">
        <f>SUM($D178:O178)-SUM($D189:O189)</f>
        <v>1344.2958999999973</v>
      </c>
      <c r="P181" s="95">
        <f>SUM($D178:P178)-SUM($D189:P189)</f>
        <v>1344.2958999999973</v>
      </c>
      <c r="Q181" s="95">
        <f>SUM($D178:Q178)-SUM($D189:Q189)</f>
        <v>1009.0458999999973</v>
      </c>
      <c r="R181" s="95">
        <f>SUM($D178:R178)-SUM($D189:R189)</f>
        <v>673.79589999999735</v>
      </c>
      <c r="S181" s="95">
        <f>SUM($D178:S178)-SUM($D189:S189)</f>
        <v>673.79589999999735</v>
      </c>
      <c r="T181" s="95">
        <f>SUM($D178:T178)-SUM($D189:T189)</f>
        <v>673.79589999999735</v>
      </c>
      <c r="U181" s="95">
        <f>SUM($D178:U178)-SUM($D189:U189)</f>
        <v>673.79589999999735</v>
      </c>
      <c r="V181" s="95">
        <f>SUM($D178:V178)-SUM($D189:V189)</f>
        <v>673.79589999999735</v>
      </c>
      <c r="W181" s="95">
        <f>SUM($D178:W178)-SUM($D189:W189)</f>
        <v>673.79589999999735</v>
      </c>
      <c r="X181" s="95">
        <f>SUM($D178:X178)-SUM($D189:X189)</f>
        <v>673.79589999999735</v>
      </c>
      <c r="Y181" s="95">
        <f>SUM($D178:Y178)-SUM($D189:Y189)</f>
        <v>673.79589999999735</v>
      </c>
      <c r="Z181" s="95">
        <f>SUM($D178:Z178)-SUM($D189:Z189)</f>
        <v>336.89800000000105</v>
      </c>
      <c r="AA181" s="95">
        <f>SUM($D178:AA178)-SUM($D189:AA189)</f>
        <v>1.0000000474974513E-4</v>
      </c>
    </row>
    <row r="182" spans="1:27" x14ac:dyDescent="0.35">
      <c r="A182" s="105"/>
      <c r="B182" s="105"/>
      <c r="C182" s="80" t="s">
        <v>46</v>
      </c>
      <c r="D182" s="95">
        <f>'Stations Data'!$H30-'Stations Data'!$J30</f>
        <v>-909</v>
      </c>
      <c r="E182" s="95">
        <f>'Stations Data'!$H30-'Stations Data'!$J30</f>
        <v>-909</v>
      </c>
      <c r="F182" s="95">
        <f>'Stations Data'!$H30-'Stations Data'!$J30</f>
        <v>-909</v>
      </c>
      <c r="G182" s="95">
        <f>'Stations Data'!$H30-'Stations Data'!$J30</f>
        <v>-909</v>
      </c>
      <c r="H182" s="95">
        <f>'Stations Data'!$H30-'Stations Data'!$J30</f>
        <v>-909</v>
      </c>
      <c r="I182" s="95">
        <f>'Stations Data'!$H30-'Stations Data'!$J30</f>
        <v>-909</v>
      </c>
      <c r="J182" s="95">
        <f>'Stations Data'!$H30-'Stations Data'!$J30</f>
        <v>-909</v>
      </c>
      <c r="K182" s="95">
        <f>'Stations Data'!$H30-'Stations Data'!$J30</f>
        <v>-909</v>
      </c>
      <c r="L182" s="95">
        <f>'Stations Data'!$H30-'Stations Data'!$J30</f>
        <v>-909</v>
      </c>
      <c r="M182" s="95">
        <f>'Stations Data'!$H30-'Stations Data'!$J30</f>
        <v>-909</v>
      </c>
      <c r="N182" s="95">
        <f>'Stations Data'!$H30-'Stations Data'!$J30</f>
        <v>-909</v>
      </c>
      <c r="O182" s="95">
        <f>'Stations Data'!$H30-'Stations Data'!$J30</f>
        <v>-909</v>
      </c>
      <c r="P182" s="95">
        <f>'Stations Data'!$H30-'Stations Data'!$J30</f>
        <v>-909</v>
      </c>
      <c r="Q182" s="95">
        <f>'Stations Data'!$H30-'Stations Data'!$J30</f>
        <v>-909</v>
      </c>
      <c r="R182" s="95">
        <f>'Stations Data'!$H30-'Stations Data'!$J30</f>
        <v>-909</v>
      </c>
      <c r="S182" s="95">
        <f>'Stations Data'!$H30-'Stations Data'!$J30</f>
        <v>-909</v>
      </c>
      <c r="T182" s="95">
        <f>'Stations Data'!$H30-'Stations Data'!$J30</f>
        <v>-909</v>
      </c>
      <c r="U182" s="95">
        <f>'Stations Data'!$H30-'Stations Data'!$J30</f>
        <v>-909</v>
      </c>
      <c r="V182" s="95">
        <f>'Stations Data'!$H30-'Stations Data'!$J30</f>
        <v>-909</v>
      </c>
      <c r="W182" s="95">
        <f>'Stations Data'!$H30-'Stations Data'!$J30</f>
        <v>-909</v>
      </c>
      <c r="X182" s="95">
        <f>'Stations Data'!$H30-'Stations Data'!$J30</f>
        <v>-909</v>
      </c>
      <c r="Y182" s="95">
        <f>'Stations Data'!$H30-'Stations Data'!$J30</f>
        <v>-909</v>
      </c>
      <c r="Z182" s="95">
        <f>'Stations Data'!$H30-'Stations Data'!$J30</f>
        <v>-909</v>
      </c>
      <c r="AA182" s="98">
        <f>'Stations Data'!$L30-'Stations Data'!$J30</f>
        <v>0</v>
      </c>
    </row>
    <row r="183" spans="1:27" x14ac:dyDescent="0.35">
      <c r="A183" s="105"/>
      <c r="B183" s="105"/>
      <c r="C183" s="80" t="s">
        <v>47</v>
      </c>
      <c r="D183" s="95">
        <f>'Stations Data'!$N30-'Stations Data'!$J30</f>
        <v>1344.2957746478874</v>
      </c>
      <c r="E183" s="95">
        <f>'Stations Data'!$N30-'Stations Data'!$J30</f>
        <v>1344.2957746478874</v>
      </c>
      <c r="F183" s="95">
        <f>'Stations Data'!$N30-'Stations Data'!$J30</f>
        <v>1344.2957746478874</v>
      </c>
      <c r="G183" s="95">
        <f>'Stations Data'!$N30-'Stations Data'!$J30</f>
        <v>1344.2957746478874</v>
      </c>
      <c r="H183" s="95">
        <f>'Stations Data'!$N30-'Stations Data'!$J30</f>
        <v>1344.2957746478874</v>
      </c>
      <c r="I183" s="95">
        <f>'Stations Data'!$N30-'Stations Data'!$J30</f>
        <v>1344.2957746478874</v>
      </c>
      <c r="J183" s="95">
        <f>'Stations Data'!$N30-'Stations Data'!$J30</f>
        <v>1344.2957746478874</v>
      </c>
      <c r="K183" s="95">
        <f>'Stations Data'!$N30-'Stations Data'!$J30</f>
        <v>1344.2957746478874</v>
      </c>
      <c r="L183" s="95">
        <f>'Stations Data'!$N30-'Stations Data'!$J30</f>
        <v>1344.2957746478874</v>
      </c>
      <c r="M183" s="95">
        <f>'Stations Data'!$N30-'Stations Data'!$J30</f>
        <v>1344.2957746478874</v>
      </c>
      <c r="N183" s="95">
        <f>'Stations Data'!$N30-'Stations Data'!$J30</f>
        <v>1344.2957746478874</v>
      </c>
      <c r="O183" s="95">
        <f>'Stations Data'!$N30-'Stations Data'!$J30</f>
        <v>1344.2957746478874</v>
      </c>
      <c r="P183" s="95">
        <f>'Stations Data'!$N30-'Stations Data'!$J30</f>
        <v>1344.2957746478874</v>
      </c>
      <c r="Q183" s="95">
        <f>'Stations Data'!$N30-'Stations Data'!$J30</f>
        <v>1344.2957746478874</v>
      </c>
      <c r="R183" s="95">
        <f>'Stations Data'!$N30-'Stations Data'!$J30</f>
        <v>1344.2957746478874</v>
      </c>
      <c r="S183" s="95">
        <f>'Stations Data'!$N30-'Stations Data'!$J30</f>
        <v>1344.2957746478874</v>
      </c>
      <c r="T183" s="95">
        <f>'Stations Data'!$N30-'Stations Data'!$J30</f>
        <v>1344.2957746478874</v>
      </c>
      <c r="U183" s="95">
        <f>'Stations Data'!$N30-'Stations Data'!$J30</f>
        <v>1344.2957746478874</v>
      </c>
      <c r="V183" s="95">
        <f>'Stations Data'!$N30-'Stations Data'!$J30</f>
        <v>1344.2957746478874</v>
      </c>
      <c r="W183" s="95">
        <f>'Stations Data'!$N30-'Stations Data'!$J30</f>
        <v>1344.2957746478874</v>
      </c>
      <c r="X183" s="95">
        <f>'Stations Data'!$N30-'Stations Data'!$J30</f>
        <v>1344.2957746478874</v>
      </c>
      <c r="Y183" s="95">
        <f>'Stations Data'!$N30-'Stations Data'!$J30</f>
        <v>1344.2957746478874</v>
      </c>
      <c r="Z183" s="95">
        <f>'Stations Data'!$N30-'Stations Data'!$J30</f>
        <v>1344.2957746478874</v>
      </c>
      <c r="AA183" s="95">
        <f>'Stations Data'!$N30-'Stations Data'!$J30</f>
        <v>1344.2957746478874</v>
      </c>
    </row>
    <row r="184" spans="1:27" x14ac:dyDescent="0.35">
      <c r="A184" s="105"/>
      <c r="B184" s="105"/>
      <c r="C184" s="80" t="s">
        <v>49</v>
      </c>
      <c r="D184" s="95"/>
      <c r="H184" s="95"/>
      <c r="L184" s="95"/>
      <c r="M184" s="95"/>
      <c r="N184" s="95"/>
      <c r="O184" s="95"/>
      <c r="Q184" s="95"/>
      <c r="S184" s="96"/>
      <c r="AA184" s="95"/>
    </row>
    <row r="185" spans="1:27" x14ac:dyDescent="0.35">
      <c r="A185" s="105"/>
      <c r="B185" s="105"/>
      <c r="C185" s="80" t="s">
        <v>50</v>
      </c>
      <c r="D185" s="94">
        <f>(AA189-D189)</f>
        <v>0</v>
      </c>
      <c r="E185" s="93">
        <f t="shared" ref="E185:AA185" si="63">(D189-E189)</f>
        <v>0</v>
      </c>
      <c r="F185" s="93">
        <f t="shared" si="63"/>
        <v>0</v>
      </c>
      <c r="G185" s="93">
        <f t="shared" si="63"/>
        <v>0</v>
      </c>
      <c r="H185" s="93">
        <f t="shared" si="63"/>
        <v>0</v>
      </c>
      <c r="I185" s="93">
        <f t="shared" si="63"/>
        <v>0</v>
      </c>
      <c r="J185" s="93">
        <f t="shared" si="63"/>
        <v>0</v>
      </c>
      <c r="K185" s="93">
        <f t="shared" si="63"/>
        <v>0</v>
      </c>
      <c r="L185" s="93">
        <f t="shared" si="63"/>
        <v>0</v>
      </c>
      <c r="M185" s="93">
        <f t="shared" si="63"/>
        <v>0</v>
      </c>
      <c r="N185" s="93">
        <f t="shared" si="63"/>
        <v>0</v>
      </c>
      <c r="O185" s="93">
        <f t="shared" si="63"/>
        <v>0</v>
      </c>
      <c r="P185" s="93">
        <f t="shared" si="63"/>
        <v>0</v>
      </c>
      <c r="Q185" s="93">
        <f t="shared" si="63"/>
        <v>2364.75</v>
      </c>
      <c r="R185" s="93">
        <f t="shared" si="63"/>
        <v>0</v>
      </c>
      <c r="S185" s="93">
        <f t="shared" si="63"/>
        <v>335.25</v>
      </c>
      <c r="T185" s="93">
        <f t="shared" si="63"/>
        <v>0</v>
      </c>
      <c r="U185" s="93">
        <f t="shared" si="63"/>
        <v>0</v>
      </c>
      <c r="V185" s="93">
        <f t="shared" si="63"/>
        <v>0</v>
      </c>
      <c r="W185" s="93">
        <f t="shared" si="63"/>
        <v>0</v>
      </c>
      <c r="X185" s="93">
        <f t="shared" si="63"/>
        <v>0</v>
      </c>
      <c r="Y185" s="93">
        <f t="shared" si="63"/>
        <v>0</v>
      </c>
      <c r="Z185" s="93">
        <f t="shared" si="63"/>
        <v>-2700</v>
      </c>
      <c r="AA185" s="93">
        <f t="shared" si="63"/>
        <v>0</v>
      </c>
    </row>
    <row r="186" spans="1:27" x14ac:dyDescent="0.35">
      <c r="A186" s="105"/>
      <c r="B186" s="105"/>
      <c r="C186" s="80" t="s">
        <v>51</v>
      </c>
      <c r="D186" s="94">
        <f>-(AA189-D189)</f>
        <v>0</v>
      </c>
      <c r="E186" s="93">
        <f t="shared" ref="E186:AA186" si="64">-(D189-E189)</f>
        <v>0</v>
      </c>
      <c r="F186" s="93">
        <f t="shared" si="64"/>
        <v>0</v>
      </c>
      <c r="G186" s="93">
        <f t="shared" si="64"/>
        <v>0</v>
      </c>
      <c r="H186" s="93">
        <f t="shared" si="64"/>
        <v>0</v>
      </c>
      <c r="I186" s="93">
        <f t="shared" si="64"/>
        <v>0</v>
      </c>
      <c r="J186" s="93">
        <f t="shared" si="64"/>
        <v>0</v>
      </c>
      <c r="K186" s="93">
        <f t="shared" si="64"/>
        <v>0</v>
      </c>
      <c r="L186" s="93">
        <f t="shared" si="64"/>
        <v>0</v>
      </c>
      <c r="M186" s="93">
        <f t="shared" si="64"/>
        <v>0</v>
      </c>
      <c r="N186" s="93">
        <f t="shared" si="64"/>
        <v>0</v>
      </c>
      <c r="O186" s="93">
        <f t="shared" si="64"/>
        <v>0</v>
      </c>
      <c r="P186" s="93">
        <f t="shared" si="64"/>
        <v>0</v>
      </c>
      <c r="Q186" s="93">
        <f t="shared" si="64"/>
        <v>-2364.75</v>
      </c>
      <c r="R186" s="93">
        <f t="shared" si="64"/>
        <v>0</v>
      </c>
      <c r="S186" s="93">
        <f t="shared" si="64"/>
        <v>-335.25</v>
      </c>
      <c r="T186" s="93">
        <f t="shared" si="64"/>
        <v>0</v>
      </c>
      <c r="U186" s="93">
        <f t="shared" si="64"/>
        <v>0</v>
      </c>
      <c r="V186" s="93">
        <f t="shared" si="64"/>
        <v>0</v>
      </c>
      <c r="W186" s="93">
        <f t="shared" si="64"/>
        <v>0</v>
      </c>
      <c r="X186" s="93">
        <f t="shared" si="64"/>
        <v>0</v>
      </c>
      <c r="Y186" s="93">
        <f t="shared" si="64"/>
        <v>0</v>
      </c>
      <c r="Z186" s="93">
        <f t="shared" si="64"/>
        <v>2700</v>
      </c>
      <c r="AA186" s="93">
        <f t="shared" si="64"/>
        <v>0</v>
      </c>
    </row>
    <row r="187" spans="1:27" x14ac:dyDescent="0.35">
      <c r="A187" s="105"/>
      <c r="B187" s="105"/>
      <c r="C187" s="80" t="s">
        <v>52</v>
      </c>
      <c r="D187" s="95">
        <v>5400</v>
      </c>
      <c r="E187" s="93" t="s">
        <v>44</v>
      </c>
      <c r="G187" s="93">
        <f>SUM(D291:AA291)</f>
        <v>5400</v>
      </c>
      <c r="J187" s="95"/>
      <c r="K187" s="95"/>
      <c r="L187" s="95"/>
      <c r="M187" s="95"/>
      <c r="N187" s="95"/>
      <c r="O187" s="95"/>
      <c r="P187" s="95"/>
      <c r="Q187" s="96"/>
      <c r="T187" s="95"/>
      <c r="U187" s="95"/>
      <c r="V187" s="95"/>
      <c r="W187" s="95"/>
      <c r="X187" s="95"/>
      <c r="Y187" s="95"/>
      <c r="Z187" s="95"/>
      <c r="AA187" s="95"/>
    </row>
    <row r="188" spans="1:27" x14ac:dyDescent="0.35">
      <c r="A188" s="105"/>
      <c r="B188" s="105"/>
      <c r="C188" s="87" t="s">
        <v>48</v>
      </c>
      <c r="D188" s="93">
        <f>SUM($D178:D178)-SUM($D189:D189)+'Stations Data'!$J30</f>
        <v>1818</v>
      </c>
      <c r="E188" s="93">
        <f>SUM($D178:E178)-SUM($D189:E189)+'Stations Data'!$J30</f>
        <v>1818</v>
      </c>
      <c r="F188" s="93">
        <f>SUM($D178:F178)-SUM($D189:F189)+'Stations Data'!$J30</f>
        <v>1818</v>
      </c>
      <c r="G188" s="93">
        <f>SUM($D178:G178)-SUM($D189:G189)+'Stations Data'!$J30</f>
        <v>1818</v>
      </c>
      <c r="H188" s="93">
        <f>SUM($D178:H178)-SUM($D189:H189)+'Stations Data'!$J30</f>
        <v>1818</v>
      </c>
      <c r="I188" s="93">
        <f>SUM($D178:I178)-SUM($D189:I189)+'Stations Data'!$J30</f>
        <v>2227.8011000000006</v>
      </c>
      <c r="J188" s="93">
        <f>SUM($D178:J178)-SUM($D189:J189)+'Stations Data'!$J30</f>
        <v>2637.6022000000012</v>
      </c>
      <c r="K188" s="93">
        <f>SUM($D178:K178)-SUM($D189:K189)+'Stations Data'!$J30</f>
        <v>3115.5001000000011</v>
      </c>
      <c r="L188" s="93">
        <f>SUM($D178:L178)-SUM($D189:L189)+'Stations Data'!$J30</f>
        <v>3593.398000000001</v>
      </c>
      <c r="M188" s="93">
        <f>SUM($D178:M178)-SUM($D189:M189)+'Stations Data'!$J30</f>
        <v>4071.295900000001</v>
      </c>
      <c r="N188" s="93">
        <f>SUM($D178:N178)-SUM($D189:N189)+'Stations Data'!$J30</f>
        <v>4071.295900000001</v>
      </c>
      <c r="O188" s="93">
        <f>SUM($D178:O178)-SUM($D189:O189)+'Stations Data'!$J30</f>
        <v>4071.2958999999973</v>
      </c>
      <c r="P188" s="93">
        <f>SUM($D178:P178)-SUM($D189:P189)+'Stations Data'!$J30</f>
        <v>4071.2958999999973</v>
      </c>
      <c r="Q188" s="93">
        <f>SUM($D178:Q178)-SUM($D189:Q189)+'Stations Data'!$J30</f>
        <v>3736.0458999999973</v>
      </c>
      <c r="R188" s="93">
        <f>SUM($D178:R178)-SUM($D189:R189)+'Stations Data'!$J30</f>
        <v>3400.7958999999973</v>
      </c>
      <c r="S188" s="93">
        <f>SUM($D178:S178)-SUM($D189:S189)+'Stations Data'!$J30</f>
        <v>3400.7958999999973</v>
      </c>
      <c r="T188" s="93">
        <f>SUM($D178:T178)-SUM($D189:T189)+'Stations Data'!$J30</f>
        <v>3400.7958999999973</v>
      </c>
      <c r="U188" s="93">
        <f>SUM($D178:U178)-SUM($D189:U189)+'Stations Data'!$J30</f>
        <v>3400.7958999999973</v>
      </c>
      <c r="V188" s="93">
        <f>SUM($D178:V178)-SUM($D189:V189)+'Stations Data'!$J30</f>
        <v>3400.7958999999973</v>
      </c>
      <c r="W188" s="93">
        <f>SUM($D178:W178)-SUM($D189:W189)+'Stations Data'!$J30</f>
        <v>3400.7958999999973</v>
      </c>
      <c r="X188" s="93">
        <f>SUM($D178:X178)-SUM($D189:X189)+'Stations Data'!$J30</f>
        <v>3400.7958999999973</v>
      </c>
      <c r="Y188" s="93">
        <f>SUM($D178:Y178)-SUM($D189:Y189)+'Stations Data'!$J30</f>
        <v>3400.7958999999973</v>
      </c>
      <c r="Z188" s="93">
        <f>SUM($D178:Z178)-SUM($D189:Z189)+'Stations Data'!$J30</f>
        <v>3063.898000000001</v>
      </c>
      <c r="AA188" s="93">
        <f>SUM($D178:AA178)-SUM($D189:AA189)+'Stations Data'!$J30</f>
        <v>2727.0001000000047</v>
      </c>
    </row>
    <row r="189" spans="1:27" x14ac:dyDescent="0.35">
      <c r="A189" s="105"/>
      <c r="B189" s="105"/>
      <c r="C189" s="84" t="s">
        <v>80</v>
      </c>
      <c r="D189" s="95">
        <f>D292</f>
        <v>2700</v>
      </c>
      <c r="E189" s="93">
        <f t="shared" ref="E189:AA189" si="65">E292</f>
        <v>2700</v>
      </c>
      <c r="F189" s="93">
        <f t="shared" si="65"/>
        <v>2700</v>
      </c>
      <c r="G189" s="93">
        <f t="shared" si="65"/>
        <v>2700</v>
      </c>
      <c r="H189" s="93">
        <f t="shared" si="65"/>
        <v>2700</v>
      </c>
      <c r="I189" s="93">
        <f t="shared" si="65"/>
        <v>2700</v>
      </c>
      <c r="J189" s="93">
        <f t="shared" si="65"/>
        <v>2700</v>
      </c>
      <c r="K189" s="93">
        <f t="shared" si="65"/>
        <v>2700</v>
      </c>
      <c r="L189" s="93">
        <f t="shared" si="65"/>
        <v>2700</v>
      </c>
      <c r="M189" s="93">
        <f t="shared" si="65"/>
        <v>2700</v>
      </c>
      <c r="N189" s="93">
        <f t="shared" si="65"/>
        <v>2700</v>
      </c>
      <c r="O189" s="93">
        <f t="shared" si="65"/>
        <v>2700</v>
      </c>
      <c r="P189" s="93">
        <f t="shared" si="65"/>
        <v>2700</v>
      </c>
      <c r="Q189" s="93">
        <f t="shared" si="65"/>
        <v>335.25</v>
      </c>
      <c r="R189" s="93">
        <f t="shared" si="65"/>
        <v>335.25</v>
      </c>
      <c r="S189" s="93">
        <f t="shared" si="65"/>
        <v>0</v>
      </c>
      <c r="T189" s="93">
        <f t="shared" si="65"/>
        <v>0</v>
      </c>
      <c r="U189" s="93">
        <f t="shared" si="65"/>
        <v>0</v>
      </c>
      <c r="V189" s="93">
        <f t="shared" si="65"/>
        <v>0</v>
      </c>
      <c r="W189" s="93">
        <f t="shared" si="65"/>
        <v>0</v>
      </c>
      <c r="X189" s="93">
        <f t="shared" si="65"/>
        <v>0</v>
      </c>
      <c r="Y189" s="93">
        <f t="shared" si="65"/>
        <v>0</v>
      </c>
      <c r="Z189" s="93">
        <f t="shared" si="65"/>
        <v>2700</v>
      </c>
      <c r="AA189" s="93">
        <f t="shared" si="65"/>
        <v>2700</v>
      </c>
    </row>
    <row r="190" spans="1:27" x14ac:dyDescent="0.35">
      <c r="A190" s="105"/>
      <c r="B190" s="105"/>
      <c r="C190" s="85" t="s">
        <v>81</v>
      </c>
      <c r="D190" s="100">
        <f>SUM(D189:AA189)/4545</f>
        <v>9.0584158415841589</v>
      </c>
      <c r="E190" s="93" t="s">
        <v>5</v>
      </c>
      <c r="H190" s="95">
        <f>D190*4545*'Stations Data'!B30</f>
        <v>14175.00315</v>
      </c>
      <c r="I190" s="93" t="s">
        <v>77</v>
      </c>
      <c r="L190" s="95">
        <f>SUMPRODUCT(D180:AA180,D189:AA189)</f>
        <v>2349.4427064899992</v>
      </c>
      <c r="M190" s="95" t="s">
        <v>71</v>
      </c>
      <c r="N190" s="95"/>
      <c r="O190" s="95">
        <f>(SUM(D190*4545/24*D180,D190*4545/24*E180,D190*4545/24*F180,D190*4545/24*G180,D190*4545/24*H180,D190*4545/24*I180,D190*4545/24*J180,D190*4545/24*K180,D190*4545/24*L180,D190*4545/24*M180,D190*4545/24*N180,D190*4545/24*O180,D190*4545/24*P180,D190*4545/24*Q180,D190*4545/24*R180,D190*4545/24*S180,D190*4545/24*T180,D190*4545/24*U180,D190*4545/24*V180,D190*4545/24*W180,D190*4545/24*X180,D190*4545/24*Y180,D190*4545/24*Z180,D190*4545/24*AA180)-SUMPRODUCT(D180:AA180,D189:AA189))</f>
        <v>499.20136404187542</v>
      </c>
      <c r="P190" s="93" t="s">
        <v>70</v>
      </c>
      <c r="Q190" s="95"/>
      <c r="R190" s="93">
        <f>(D190*4545/24-T189)*'Stations Data'!B30</f>
        <v>590.62513124999998</v>
      </c>
      <c r="S190" s="96" t="s">
        <v>28</v>
      </c>
      <c r="U190" s="93">
        <f>AA188-'Stations Data'!L30</f>
        <v>1.0000000474974513E-4</v>
      </c>
      <c r="AA190" s="95"/>
    </row>
    <row r="191" spans="1:27" s="67" customFormat="1" x14ac:dyDescent="0.35">
      <c r="A191" s="106" t="s">
        <v>156</v>
      </c>
      <c r="B191" s="106"/>
      <c r="C191" s="86" t="s">
        <v>32</v>
      </c>
      <c r="D191" s="92">
        <f>'Stations Data'!$B31*Demand!B3</f>
        <v>7.7685299999999999E-2</v>
      </c>
      <c r="E191" s="92">
        <f>'Stations Data'!$B31*Demand!C3</f>
        <v>5.5220459999999999E-2</v>
      </c>
      <c r="F191" s="92">
        <f>'Stations Data'!$B31*Demand!D3</f>
        <v>5.5220459999999999E-2</v>
      </c>
      <c r="G191" s="92">
        <f>'Stations Data'!$B31*Demand!E3</f>
        <v>5.5220459999999999E-2</v>
      </c>
      <c r="H191" s="92">
        <f>'Stations Data'!$B31*Demand!F3</f>
        <v>4.2710100000000001E-2</v>
      </c>
      <c r="I191" s="92">
        <f>'Stations Data'!$B31*Demand!G3</f>
        <v>4.2710100000000001E-2</v>
      </c>
      <c r="J191" s="92">
        <f>'Stations Data'!$B31*Demand!H3</f>
        <v>4.2710100000000001E-2</v>
      </c>
      <c r="K191" s="92">
        <f>'Stations Data'!$B31*Demand!I3</f>
        <v>4.1432160000000003E-2</v>
      </c>
      <c r="L191" s="92">
        <f>'Stations Data'!$B31*Demand!J3</f>
        <v>4.1432160000000003E-2</v>
      </c>
      <c r="M191" s="92">
        <f>'Stations Data'!$B31*Demand!K3</f>
        <v>4.1432160000000003E-2</v>
      </c>
      <c r="N191" s="92">
        <f>'Stations Data'!$B31*Demand!L3</f>
        <v>5.9457839999999991E-2</v>
      </c>
      <c r="O191" s="92">
        <f>'Stations Data'!$B31*Demand!M3</f>
        <v>5.9457839999999991E-2</v>
      </c>
      <c r="P191" s="92">
        <f>'Stations Data'!$B31*Demand!N3</f>
        <v>5.9457839999999991E-2</v>
      </c>
      <c r="Q191" s="92">
        <f>'Stations Data'!$B31*Demand!O3</f>
        <v>8.2258979999999995E-2</v>
      </c>
      <c r="R191" s="92">
        <f>'Stations Data'!$B31*Demand!P3</f>
        <v>8.2258979999999995E-2</v>
      </c>
      <c r="S191" s="92">
        <f>'Stations Data'!$B31*Demand!Q3</f>
        <v>8.2258979999999995E-2</v>
      </c>
      <c r="T191" s="92">
        <f>'Stations Data'!$B31*Demand!R3</f>
        <v>9.2112570000000005E-2</v>
      </c>
      <c r="U191" s="92">
        <f>'Stations Data'!$B31*Demand!S3</f>
        <v>9.2112570000000005E-2</v>
      </c>
      <c r="V191" s="92">
        <f>'Stations Data'!$B31*Demand!T3</f>
        <v>9.2112570000000005E-2</v>
      </c>
      <c r="W191" s="92">
        <f>'Stations Data'!$B31*Demand!U3</f>
        <v>8.97921E-2</v>
      </c>
      <c r="X191" s="92">
        <f>'Stations Data'!$B31*Demand!V3</f>
        <v>8.97921E-2</v>
      </c>
      <c r="Y191" s="92">
        <f>'Stations Data'!$B31*Demand!W3</f>
        <v>8.97921E-2</v>
      </c>
      <c r="Z191" s="92">
        <f>'Stations Data'!$B31*Demand!X3</f>
        <v>7.7685299999999999E-2</v>
      </c>
      <c r="AA191" s="92">
        <f>'Stations Data'!$B31*Demand!Y3</f>
        <v>7.7685299999999999E-2</v>
      </c>
    </row>
    <row r="192" spans="1:27" s="67" customFormat="1" x14ac:dyDescent="0.35">
      <c r="A192" s="106"/>
      <c r="B192" s="106"/>
      <c r="C192" s="80" t="s">
        <v>45</v>
      </c>
      <c r="D192" s="95">
        <f>SUM($D189:D189)-SUM($D200:D200)</f>
        <v>195.9965000000002</v>
      </c>
      <c r="E192" s="95">
        <f>SUM($D189:E189)-SUM($D200:E200)</f>
        <v>195.9965000000002</v>
      </c>
      <c r="F192" s="95">
        <f>SUM($D189:F189)-SUM($D200:F200)</f>
        <v>195.9965000000002</v>
      </c>
      <c r="G192" s="95">
        <f>SUM($D189:G189)-SUM($D200:G200)</f>
        <v>195.99650000000111</v>
      </c>
      <c r="H192" s="95">
        <f>SUM($D189:H189)-SUM($D200:H200)</f>
        <v>195.99650000000111</v>
      </c>
      <c r="I192" s="95">
        <f>SUM($D189:I189)-SUM($D200:I200)</f>
        <v>195.99650000000111</v>
      </c>
      <c r="J192" s="95">
        <f>SUM($D189:J189)-SUM($D200:J200)</f>
        <v>195.99650000000111</v>
      </c>
      <c r="K192" s="95">
        <f>SUM($D189:K189)-SUM($D200:K200)</f>
        <v>195.99650000000111</v>
      </c>
      <c r="L192" s="95">
        <f>SUM($D189:L189)-SUM($D200:L200)</f>
        <v>195.99650000000111</v>
      </c>
      <c r="M192" s="95">
        <f>SUM($D189:M189)-SUM($D200:M200)</f>
        <v>195.99650000000111</v>
      </c>
      <c r="N192" s="95">
        <f>SUM($D189:N189)-SUM($D200:N200)</f>
        <v>195.99650000000111</v>
      </c>
      <c r="O192" s="95">
        <f>SUM($D189:O189)-SUM($D200:O200)</f>
        <v>195.99650000000111</v>
      </c>
      <c r="P192" s="95">
        <f>SUM($D189:P189)-SUM($D200:P200)</f>
        <v>195.99650000000111</v>
      </c>
      <c r="Q192" s="95">
        <f>SUM($D189:Q189)-SUM($D200:Q200)</f>
        <v>531.24650000000111</v>
      </c>
      <c r="R192" s="95">
        <f>SUM($D189:R189)-SUM($D200:R200)</f>
        <v>866.49650000000111</v>
      </c>
      <c r="S192" s="95">
        <f>SUM($D189:S189)-SUM($D200:S200)</f>
        <v>866.49650000000111</v>
      </c>
      <c r="T192" s="95">
        <f>SUM($D189:T189)-SUM($D200:T200)</f>
        <v>866.49650000000111</v>
      </c>
      <c r="U192" s="95">
        <f>SUM($D189:U189)-SUM($D200:U200)</f>
        <v>866.49650000000111</v>
      </c>
      <c r="V192" s="95">
        <f>SUM($D189:V189)-SUM($D200:V200)</f>
        <v>866.49650000000111</v>
      </c>
      <c r="W192" s="95">
        <f>SUM($D189:W189)-SUM($D200:W200)</f>
        <v>866.49650000000111</v>
      </c>
      <c r="X192" s="95">
        <f>SUM($D189:X189)-SUM($D200:X200)</f>
        <v>866.49650000000111</v>
      </c>
      <c r="Y192" s="95">
        <f>SUM($D189:Y189)-SUM($D200:Y200)</f>
        <v>866.49650000000111</v>
      </c>
      <c r="Z192" s="95">
        <f>SUM($D189:Z189)-SUM($D200:Z200)</f>
        <v>1681.9976000000024</v>
      </c>
      <c r="AA192" s="95">
        <f>SUM($D189:AA189)-SUM($D200:AA200)</f>
        <v>1877.9941000000035</v>
      </c>
    </row>
    <row r="193" spans="1:27" s="67" customFormat="1" x14ac:dyDescent="0.35">
      <c r="A193" s="106"/>
      <c r="B193" s="106"/>
      <c r="C193" s="80" t="s">
        <v>46</v>
      </c>
      <c r="D193" s="95">
        <f>'Stations Data'!$H31-'Stations Data'!$J31+SUM(Demand!$B36:B36)</f>
        <v>-833.00024281150161</v>
      </c>
      <c r="E193" s="95">
        <f>'Stations Data'!$H31-'Stations Data'!$J31+SUM(Demand!$B36:C36)</f>
        <v>-758.00048242811499</v>
      </c>
      <c r="F193" s="95">
        <f>'Stations Data'!$H31-'Stations Data'!$J31+SUM(Demand!$B36:D36)</f>
        <v>-682.0007252396166</v>
      </c>
      <c r="G193" s="95">
        <f>'Stations Data'!$H31-'Stations Data'!$J31+SUM(Demand!$B36:E36)</f>
        <v>-607.00096485622998</v>
      </c>
      <c r="H193" s="95">
        <f>'Stations Data'!$H31-'Stations Data'!$J31+SUM(Demand!$B36:F36)</f>
        <v>-531.00120766773171</v>
      </c>
      <c r="I193" s="95">
        <f>'Stations Data'!$H31-'Stations Data'!$J31+SUM(Demand!$B36:G36)</f>
        <v>-455.00145047923326</v>
      </c>
      <c r="J193" s="95">
        <f>'Stations Data'!$H31-'Stations Data'!$J31+SUM(Demand!$B36:H36)</f>
        <v>-379.00169329073481</v>
      </c>
      <c r="K193" s="95">
        <f>'Stations Data'!$H31-'Stations Data'!$J31+SUM(Demand!$B36:I36)</f>
        <v>-309.00191693290731</v>
      </c>
      <c r="L193" s="95">
        <f>'Stations Data'!$H31-'Stations Data'!$J31+SUM(Demand!$B36:J36)</f>
        <v>-232.00216293929702</v>
      </c>
      <c r="M193" s="95">
        <f>'Stations Data'!$H31-'Stations Data'!$J31+SUM(Demand!$B36:K36)</f>
        <v>-114.00253993610215</v>
      </c>
      <c r="N193" s="95">
        <f>'Stations Data'!$H31-'Stations Data'!$J31+SUM(Demand!$B36:L36)</f>
        <v>1.9970894568690483</v>
      </c>
      <c r="O193" s="95">
        <f>'Stations Data'!$H31-'Stations Data'!$J31+SUM(Demand!$B36:M36)</f>
        <v>109.99674440894569</v>
      </c>
      <c r="P193" s="95">
        <f>'Stations Data'!$H31-'Stations Data'!$J31+SUM(Demand!$B36:N36)</f>
        <v>195.9964696485622</v>
      </c>
      <c r="Q193" s="95">
        <f>'Stations Data'!$H31-'Stations Data'!$J31+SUM(Demand!$B36:O36)</f>
        <v>265.99624600638958</v>
      </c>
      <c r="R193" s="95">
        <f>'Stations Data'!$H31-'Stations Data'!$J31+SUM(Demand!$B36:P36)</f>
        <v>336.99601916932897</v>
      </c>
      <c r="S193" s="95">
        <f>'Stations Data'!$H31-'Stations Data'!$J31+SUM(Demand!$B36:Q36)</f>
        <v>406.99579552715636</v>
      </c>
      <c r="T193" s="95">
        <f>'Stations Data'!$H31-'Stations Data'!$J31+SUM(Demand!$B36:R36)</f>
        <v>476.99557188498375</v>
      </c>
      <c r="U193" s="95">
        <f>'Stations Data'!$H31-'Stations Data'!$J31+SUM(Demand!$B36:S36)</f>
        <v>546.99534824281113</v>
      </c>
      <c r="V193" s="95">
        <f>'Stations Data'!$H31-'Stations Data'!$J31+SUM(Demand!$B36:T36)</f>
        <v>617.99512140575052</v>
      </c>
      <c r="W193" s="95">
        <f>'Stations Data'!$H31-'Stations Data'!$J31+SUM(Demand!$B36:U36)</f>
        <v>688.99489456868992</v>
      </c>
      <c r="X193" s="95">
        <f>'Stations Data'!$H31-'Stations Data'!$J31+SUM(Demand!$B36:V36)</f>
        <v>758.9946709265173</v>
      </c>
      <c r="Y193" s="95">
        <f>'Stations Data'!$H31-'Stations Data'!$J31+SUM(Demand!$B36:W36)</f>
        <v>828.99444728434469</v>
      </c>
      <c r="Z193" s="95">
        <f>'Stations Data'!$H31-'Stations Data'!$J31+SUM(Demand!$B36:X36)</f>
        <v>898.99422364217207</v>
      </c>
      <c r="AA193" s="98">
        <f>'Stations Data'!$L31-'Stations Data'!$J31+SUM(Demand!$B36:Y36)</f>
        <v>1877.9939999999995</v>
      </c>
    </row>
    <row r="194" spans="1:27" s="67" customFormat="1" x14ac:dyDescent="0.35">
      <c r="A194" s="106"/>
      <c r="B194" s="106"/>
      <c r="C194" s="80" t="s">
        <v>47</v>
      </c>
      <c r="D194" s="95">
        <f>'Stations Data'!$N31-'Stations Data'!$J31+SUM(Demand!$B36:B36)</f>
        <v>1420.2955318363859</v>
      </c>
      <c r="E194" s="95">
        <f>'Stations Data'!$N31-'Stations Data'!$J31+SUM(Demand!$B36:C36)</f>
        <v>1495.2952922197724</v>
      </c>
      <c r="F194" s="95">
        <f>'Stations Data'!$N31-'Stations Data'!$J31+SUM(Demand!$B36:D36)</f>
        <v>1571.2950494082706</v>
      </c>
      <c r="G194" s="95">
        <f>'Stations Data'!$N31-'Stations Data'!$J31+SUM(Demand!$B36:E36)</f>
        <v>1646.2948097916574</v>
      </c>
      <c r="H194" s="95">
        <f>'Stations Data'!$N31-'Stations Data'!$J31+SUM(Demand!$B36:F36)</f>
        <v>1722.2945669801557</v>
      </c>
      <c r="I194" s="95">
        <f>'Stations Data'!$N31-'Stations Data'!$J31+SUM(Demand!$B36:G36)</f>
        <v>1798.2943241686542</v>
      </c>
      <c r="J194" s="95">
        <f>'Stations Data'!$N31-'Stations Data'!$J31+SUM(Demand!$B36:H36)</f>
        <v>1874.2940813571527</v>
      </c>
      <c r="K194" s="95">
        <f>'Stations Data'!$N31-'Stations Data'!$J31+SUM(Demand!$B36:I36)</f>
        <v>1944.29385771498</v>
      </c>
      <c r="L194" s="95">
        <f>'Stations Data'!$N31-'Stations Data'!$J31+SUM(Demand!$B36:J36)</f>
        <v>2021.2936117085903</v>
      </c>
      <c r="M194" s="95">
        <f>'Stations Data'!$N31-'Stations Data'!$J31+SUM(Demand!$B36:K36)</f>
        <v>2139.2932347117853</v>
      </c>
      <c r="N194" s="95">
        <f>'Stations Data'!$N31-'Stations Data'!$J31+SUM(Demand!$B36:L36)</f>
        <v>2255.2928641047565</v>
      </c>
      <c r="O194" s="95">
        <f>'Stations Data'!$N31-'Stations Data'!$J31+SUM(Demand!$B36:M36)</f>
        <v>2363.292519056833</v>
      </c>
      <c r="P194" s="95">
        <f>'Stations Data'!$N31-'Stations Data'!$J31+SUM(Demand!$B36:N36)</f>
        <v>2449.2922442964496</v>
      </c>
      <c r="Q194" s="95">
        <f>'Stations Data'!$N31-'Stations Data'!$J31+SUM(Demand!$B36:O36)</f>
        <v>2519.2920206542767</v>
      </c>
      <c r="R194" s="95">
        <f>'Stations Data'!$N31-'Stations Data'!$J31+SUM(Demand!$B36:P36)</f>
        <v>2590.2917938172163</v>
      </c>
      <c r="S194" s="95">
        <f>'Stations Data'!$N31-'Stations Data'!$J31+SUM(Demand!$B36:Q36)</f>
        <v>2660.2915701750435</v>
      </c>
      <c r="T194" s="95">
        <f>'Stations Data'!$N31-'Stations Data'!$J31+SUM(Demand!$B36:R36)</f>
        <v>2730.2913465328711</v>
      </c>
      <c r="U194" s="95">
        <f>'Stations Data'!$N31-'Stations Data'!$J31+SUM(Demand!$B36:S36)</f>
        <v>2800.2911228906987</v>
      </c>
      <c r="V194" s="95">
        <f>'Stations Data'!$N31-'Stations Data'!$J31+SUM(Demand!$B36:T36)</f>
        <v>2871.2908960536379</v>
      </c>
      <c r="W194" s="95">
        <f>'Stations Data'!$N31-'Stations Data'!$J31+SUM(Demand!$B36:U36)</f>
        <v>2942.290669216577</v>
      </c>
      <c r="X194" s="95">
        <f>'Stations Data'!$N31-'Stations Data'!$J31+SUM(Demand!$B36:V36)</f>
        <v>3012.2904455744047</v>
      </c>
      <c r="Y194" s="95">
        <f>'Stations Data'!$N31-'Stations Data'!$J31+SUM(Demand!$B36:W36)</f>
        <v>3082.2902219322323</v>
      </c>
      <c r="Z194" s="95">
        <f>'Stations Data'!$N31-'Stations Data'!$J31+SUM(Demand!$B36:X36)</f>
        <v>3152.2899982900594</v>
      </c>
      <c r="AA194" s="95">
        <f>'Stations Data'!$N31-'Stations Data'!$J31+SUM(Demand!$B36:Y36)</f>
        <v>3222.2897746478866</v>
      </c>
    </row>
    <row r="195" spans="1:27" s="67" customFormat="1" x14ac:dyDescent="0.35">
      <c r="A195" s="106"/>
      <c r="B195" s="106"/>
      <c r="C195" s="87" t="s">
        <v>49</v>
      </c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6"/>
      <c r="R195" s="93"/>
      <c r="S195" s="93"/>
      <c r="T195" s="95"/>
      <c r="U195" s="95"/>
      <c r="V195" s="95"/>
      <c r="W195" s="95"/>
      <c r="X195" s="95"/>
      <c r="Y195" s="95"/>
      <c r="Z195" s="95"/>
      <c r="AA195" s="95"/>
    </row>
    <row r="196" spans="1:27" s="67" customFormat="1" x14ac:dyDescent="0.35">
      <c r="A196" s="106"/>
      <c r="B196" s="106"/>
      <c r="C196" s="87" t="s">
        <v>50</v>
      </c>
      <c r="D196" s="98">
        <f>(AA200-D200)</f>
        <v>0</v>
      </c>
      <c r="E196" s="93">
        <f t="shared" ref="E196:AA196" si="66">(D200-E200)</f>
        <v>-195.9965000000002</v>
      </c>
      <c r="F196" s="93">
        <f t="shared" si="66"/>
        <v>0</v>
      </c>
      <c r="G196" s="93">
        <f t="shared" si="66"/>
        <v>0</v>
      </c>
      <c r="H196" s="93">
        <f t="shared" si="66"/>
        <v>0</v>
      </c>
      <c r="I196" s="93">
        <f t="shared" si="66"/>
        <v>0</v>
      </c>
      <c r="J196" s="93">
        <f t="shared" si="66"/>
        <v>0</v>
      </c>
      <c r="K196" s="93">
        <f t="shared" si="66"/>
        <v>0</v>
      </c>
      <c r="L196" s="93">
        <f t="shared" si="66"/>
        <v>0</v>
      </c>
      <c r="M196" s="93">
        <f t="shared" si="66"/>
        <v>0</v>
      </c>
      <c r="N196" s="93">
        <f t="shared" si="66"/>
        <v>0</v>
      </c>
      <c r="O196" s="93">
        <f t="shared" si="66"/>
        <v>0</v>
      </c>
      <c r="P196" s="93">
        <f t="shared" si="66"/>
        <v>0</v>
      </c>
      <c r="Q196" s="93">
        <f t="shared" si="66"/>
        <v>2700</v>
      </c>
      <c r="R196" s="93">
        <f t="shared" si="66"/>
        <v>0</v>
      </c>
      <c r="S196" s="93">
        <f t="shared" si="66"/>
        <v>0</v>
      </c>
      <c r="T196" s="93">
        <f t="shared" si="66"/>
        <v>0</v>
      </c>
      <c r="U196" s="93">
        <f t="shared" si="66"/>
        <v>0</v>
      </c>
      <c r="V196" s="93">
        <f t="shared" si="66"/>
        <v>0</v>
      </c>
      <c r="W196" s="93">
        <f t="shared" si="66"/>
        <v>0</v>
      </c>
      <c r="X196" s="93">
        <f t="shared" si="66"/>
        <v>0</v>
      </c>
      <c r="Y196" s="93">
        <f t="shared" si="66"/>
        <v>0</v>
      </c>
      <c r="Z196" s="93">
        <f t="shared" si="66"/>
        <v>-1884.4989</v>
      </c>
      <c r="AA196" s="93">
        <f t="shared" si="66"/>
        <v>-619.50459999999975</v>
      </c>
    </row>
    <row r="197" spans="1:27" s="67" customFormat="1" x14ac:dyDescent="0.35">
      <c r="A197" s="106"/>
      <c r="B197" s="106"/>
      <c r="C197" s="87" t="s">
        <v>51</v>
      </c>
      <c r="D197" s="98">
        <f>-(AA200-D200)</f>
        <v>0</v>
      </c>
      <c r="E197" s="93">
        <f t="shared" ref="E197:AA197" si="67">-(D200-E200)</f>
        <v>195.9965000000002</v>
      </c>
      <c r="F197" s="93">
        <f t="shared" si="67"/>
        <v>0</v>
      </c>
      <c r="G197" s="93">
        <f t="shared" si="67"/>
        <v>0</v>
      </c>
      <c r="H197" s="93">
        <f t="shared" si="67"/>
        <v>0</v>
      </c>
      <c r="I197" s="93">
        <f t="shared" si="67"/>
        <v>0</v>
      </c>
      <c r="J197" s="93">
        <f t="shared" si="67"/>
        <v>0</v>
      </c>
      <c r="K197" s="93">
        <f t="shared" si="67"/>
        <v>0</v>
      </c>
      <c r="L197" s="93">
        <f t="shared" si="67"/>
        <v>0</v>
      </c>
      <c r="M197" s="93">
        <f t="shared" si="67"/>
        <v>0</v>
      </c>
      <c r="N197" s="93">
        <f t="shared" si="67"/>
        <v>0</v>
      </c>
      <c r="O197" s="93">
        <f t="shared" si="67"/>
        <v>0</v>
      </c>
      <c r="P197" s="93">
        <f t="shared" si="67"/>
        <v>0</v>
      </c>
      <c r="Q197" s="93">
        <f t="shared" si="67"/>
        <v>-2700</v>
      </c>
      <c r="R197" s="93">
        <f t="shared" si="67"/>
        <v>0</v>
      </c>
      <c r="S197" s="93">
        <f t="shared" si="67"/>
        <v>0</v>
      </c>
      <c r="T197" s="93">
        <f t="shared" si="67"/>
        <v>0</v>
      </c>
      <c r="U197" s="93">
        <f t="shared" si="67"/>
        <v>0</v>
      </c>
      <c r="V197" s="93">
        <f t="shared" si="67"/>
        <v>0</v>
      </c>
      <c r="W197" s="93">
        <f t="shared" si="67"/>
        <v>0</v>
      </c>
      <c r="X197" s="93">
        <f t="shared" si="67"/>
        <v>0</v>
      </c>
      <c r="Y197" s="93">
        <f t="shared" si="67"/>
        <v>0</v>
      </c>
      <c r="Z197" s="93">
        <f t="shared" si="67"/>
        <v>1884.4989</v>
      </c>
      <c r="AA197" s="93">
        <f t="shared" si="67"/>
        <v>619.50459999999975</v>
      </c>
    </row>
    <row r="198" spans="1:27" s="67" customFormat="1" x14ac:dyDescent="0.35">
      <c r="A198" s="106"/>
      <c r="B198" s="106"/>
      <c r="C198" s="87" t="s">
        <v>52</v>
      </c>
      <c r="D198" s="95">
        <v>5400</v>
      </c>
      <c r="E198" s="93" t="s">
        <v>44</v>
      </c>
      <c r="F198" s="93"/>
      <c r="G198" s="93">
        <f>SUM(D293:AA293)</f>
        <v>5399.999960000001</v>
      </c>
      <c r="H198" s="93"/>
      <c r="I198" s="93"/>
      <c r="J198" s="95"/>
      <c r="K198" s="95"/>
      <c r="L198" s="95"/>
      <c r="M198" s="95"/>
      <c r="N198" s="95"/>
      <c r="O198" s="95"/>
      <c r="P198" s="95"/>
      <c r="Q198" s="96"/>
      <c r="R198" s="93"/>
      <c r="S198" s="93"/>
      <c r="T198" s="95"/>
      <c r="U198" s="95"/>
      <c r="V198" s="95"/>
      <c r="W198" s="95"/>
      <c r="X198" s="95"/>
      <c r="Y198" s="95"/>
      <c r="Z198" s="95"/>
      <c r="AA198" s="95"/>
    </row>
    <row r="199" spans="1:27" s="67" customFormat="1" x14ac:dyDescent="0.35">
      <c r="A199" s="106"/>
      <c r="B199" s="106"/>
      <c r="C199" s="87" t="s">
        <v>48</v>
      </c>
      <c r="D199" s="93">
        <f>SUM($D189:D189)-SUM($D200:D200)+'Stations Data'!$J31-SUM(Demand!$B36:B36)</f>
        <v>2846.9967428115019</v>
      </c>
      <c r="E199" s="93">
        <f>SUM($D189:E189)-SUM($D200:E200)+'Stations Data'!$J31-SUM(Demand!$B36:C36)</f>
        <v>2771.9969824281152</v>
      </c>
      <c r="F199" s="93">
        <f>SUM($D189:F189)-SUM($D200:F200)+'Stations Data'!$J31-SUM(Demand!$B36:D36)</f>
        <v>2695.9972252396169</v>
      </c>
      <c r="G199" s="93">
        <f>SUM($D189:G189)-SUM($D200:G200)+'Stations Data'!$J31-SUM(Demand!$B36:E36)</f>
        <v>2620.9974648562311</v>
      </c>
      <c r="H199" s="93">
        <f>SUM($D189:H189)-SUM($D200:H200)+'Stations Data'!$J31-SUM(Demand!$B36:F36)</f>
        <v>2544.9977076677328</v>
      </c>
      <c r="I199" s="93">
        <f>SUM($D189:I189)-SUM($D200:I200)+'Stations Data'!$J31-SUM(Demand!$B36:G36)</f>
        <v>2468.9979504792345</v>
      </c>
      <c r="J199" s="93">
        <f>SUM($D189:J189)-SUM($D200:J200)+'Stations Data'!$J31-SUM(Demand!$B36:H36)</f>
        <v>2392.9981932907358</v>
      </c>
      <c r="K199" s="93">
        <f>SUM($D189:K189)-SUM($D200:K200)+'Stations Data'!$J31-SUM(Demand!$B36:I36)</f>
        <v>2322.9984169329082</v>
      </c>
      <c r="L199" s="93">
        <f>SUM($D189:L189)-SUM($D200:L200)+'Stations Data'!$J31-SUM(Demand!$B36:J36)</f>
        <v>2245.9986629392979</v>
      </c>
      <c r="M199" s="93">
        <f>SUM($D189:M189)-SUM($D200:M200)+'Stations Data'!$J31-SUM(Demand!$B36:K36)</f>
        <v>2127.9990399361031</v>
      </c>
      <c r="N199" s="93">
        <f>SUM($D189:N189)-SUM($D200:N200)+'Stations Data'!$J31-SUM(Demand!$B36:L36)</f>
        <v>2011.9994105431319</v>
      </c>
      <c r="O199" s="93">
        <f>SUM($D189:O189)-SUM($D200:O200)+'Stations Data'!$J31-SUM(Demand!$B36:M36)</f>
        <v>1903.9997555910554</v>
      </c>
      <c r="P199" s="93">
        <f>SUM($D189:P189)-SUM($D200:P200)+'Stations Data'!$J31-SUM(Demand!$B36:N36)</f>
        <v>1818.0000303514389</v>
      </c>
      <c r="Q199" s="93">
        <f>SUM($D189:Q189)-SUM($D200:Q200)+'Stations Data'!$J31-SUM(Demand!$B36:O36)</f>
        <v>2083.2502539936113</v>
      </c>
      <c r="R199" s="93">
        <f>SUM($D189:R189)-SUM($D200:R200)+'Stations Data'!$J31-SUM(Demand!$B36:P36)</f>
        <v>2347.5004808306721</v>
      </c>
      <c r="S199" s="93">
        <f>SUM($D189:S189)-SUM($D200:S200)+'Stations Data'!$J31-SUM(Demand!$B36:Q36)</f>
        <v>2277.5007044728445</v>
      </c>
      <c r="T199" s="93">
        <f>SUM($D189:T189)-SUM($D200:T200)+'Stations Data'!$J31-SUM(Demand!$B36:R36)</f>
        <v>2207.5009281150174</v>
      </c>
      <c r="U199" s="93">
        <f>SUM($D189:U189)-SUM($D200:U200)+'Stations Data'!$J31-SUM(Demand!$B36:S36)</f>
        <v>2137.5011517571902</v>
      </c>
      <c r="V199" s="93">
        <f>SUM($D189:V189)-SUM($D200:V200)+'Stations Data'!$J31-SUM(Demand!$B36:T36)</f>
        <v>2066.5013785942506</v>
      </c>
      <c r="W199" s="93">
        <f>SUM($D189:W189)-SUM($D200:W200)+'Stations Data'!$J31-SUM(Demand!$B36:U36)</f>
        <v>1995.5016054313112</v>
      </c>
      <c r="X199" s="93">
        <f>SUM($D189:X189)-SUM($D200:X200)+'Stations Data'!$J31-SUM(Demand!$B36:V36)</f>
        <v>1925.5018290734838</v>
      </c>
      <c r="Y199" s="93">
        <f>SUM($D189:Y189)-SUM($D200:Y200)+'Stations Data'!$J31-SUM(Demand!$B36:W36)</f>
        <v>1855.5020527156564</v>
      </c>
      <c r="Z199" s="93">
        <f>SUM($D189:Z189)-SUM($D200:Z200)+'Stations Data'!$J31-SUM(Demand!$B36:X36)</f>
        <v>2601.0033763578303</v>
      </c>
      <c r="AA199" s="93">
        <f>SUM($D189:AA189)-SUM($D200:AA200)+'Stations Data'!$J31-SUM(Demand!$B36:Y36)</f>
        <v>2727.0001000000038</v>
      </c>
    </row>
    <row r="200" spans="1:27" s="67" customFormat="1" x14ac:dyDescent="0.35">
      <c r="A200" s="106"/>
      <c r="B200" s="106"/>
      <c r="C200" s="84" t="s">
        <v>82</v>
      </c>
      <c r="D200" s="95">
        <f>D294</f>
        <v>2504.0034999999998</v>
      </c>
      <c r="E200" s="93">
        <f t="shared" ref="E200:AA200" si="68">E294</f>
        <v>2700</v>
      </c>
      <c r="F200" s="93">
        <f t="shared" si="68"/>
        <v>2700</v>
      </c>
      <c r="G200" s="93">
        <f t="shared" si="68"/>
        <v>2700</v>
      </c>
      <c r="H200" s="93">
        <f t="shared" si="68"/>
        <v>2700</v>
      </c>
      <c r="I200" s="93">
        <f t="shared" si="68"/>
        <v>2700</v>
      </c>
      <c r="J200" s="93">
        <f t="shared" si="68"/>
        <v>2700</v>
      </c>
      <c r="K200" s="93">
        <f t="shared" si="68"/>
        <v>2700</v>
      </c>
      <c r="L200" s="93">
        <f t="shared" si="68"/>
        <v>2700</v>
      </c>
      <c r="M200" s="93">
        <f t="shared" si="68"/>
        <v>2700</v>
      </c>
      <c r="N200" s="93">
        <f t="shared" si="68"/>
        <v>2700</v>
      </c>
      <c r="O200" s="93">
        <f t="shared" si="68"/>
        <v>2700</v>
      </c>
      <c r="P200" s="93">
        <f t="shared" si="68"/>
        <v>2700</v>
      </c>
      <c r="Q200" s="93">
        <f t="shared" si="68"/>
        <v>0</v>
      </c>
      <c r="R200" s="93">
        <f t="shared" si="68"/>
        <v>0</v>
      </c>
      <c r="S200" s="93">
        <f t="shared" si="68"/>
        <v>0</v>
      </c>
      <c r="T200" s="93">
        <f t="shared" si="68"/>
        <v>0</v>
      </c>
      <c r="U200" s="93">
        <f t="shared" si="68"/>
        <v>0</v>
      </c>
      <c r="V200" s="93">
        <f t="shared" si="68"/>
        <v>0</v>
      </c>
      <c r="W200" s="93">
        <f t="shared" si="68"/>
        <v>0</v>
      </c>
      <c r="X200" s="93">
        <f t="shared" si="68"/>
        <v>0</v>
      </c>
      <c r="Y200" s="93">
        <f t="shared" si="68"/>
        <v>0</v>
      </c>
      <c r="Z200" s="93">
        <f t="shared" si="68"/>
        <v>1884.4989</v>
      </c>
      <c r="AA200" s="93">
        <f t="shared" si="68"/>
        <v>2504.0034999999998</v>
      </c>
    </row>
    <row r="201" spans="1:27" s="67" customFormat="1" x14ac:dyDescent="0.35">
      <c r="A201" s="106"/>
      <c r="B201" s="106"/>
      <c r="C201" s="87" t="s">
        <v>78</v>
      </c>
      <c r="D201" s="100">
        <f>SUM(D200:AA200)/4545</f>
        <v>8.6452158195819582</v>
      </c>
      <c r="E201" s="93" t="s">
        <v>5</v>
      </c>
      <c r="F201" s="93"/>
      <c r="G201" s="93"/>
      <c r="H201" s="95">
        <f>D201*4545*'Stations Data'!B31</f>
        <v>13214.069734169998</v>
      </c>
      <c r="I201" s="93" t="s">
        <v>77</v>
      </c>
      <c r="J201" s="93"/>
      <c r="K201" s="93"/>
      <c r="L201" s="95">
        <f>SUMPRODUCT(D191:AA191,D200:AA200)</f>
        <v>2145.89292459327</v>
      </c>
      <c r="M201" s="95" t="s">
        <v>71</v>
      </c>
      <c r="N201" s="95"/>
      <c r="O201" s="95">
        <f>(SUM(D201*4545/24*D191,D201*4545/24*E191,D201*4545/24*F191,D201*4545/24*G191,D201*4545/24*H191,D201*4545/24*I191,D201*4545/24*J191,D201*4545/24*K191,D201*4545/24*L191,D201*4545/24*M191,D201*4545/24*N191,D201*4545/24*O191,D201*4545/24*P191,D201*4545/24*Q191,D201*4545/24*R191,D201*4545/24*S191,D201*4545/24*T191,D201*4545/24*U191,D201*4545/24*V191,D201*4545/24*W191,D201*4545/24*X191,D201*4545/24*Y191,D201*4545/24*Z191,D201*4545/24*AA191)-SUMPRODUCT(D191:AA191,D200:AA200))</f>
        <v>509.63956435986756</v>
      </c>
      <c r="P201" s="93" t="s">
        <v>70</v>
      </c>
      <c r="Q201" s="95"/>
      <c r="R201" s="93">
        <f>(D201*4545/24-T200)*'Stations Data'!B31</f>
        <v>550.58623892374987</v>
      </c>
      <c r="S201" s="96" t="s">
        <v>28</v>
      </c>
      <c r="T201" s="93"/>
      <c r="U201" s="93">
        <f>AA199-'Stations Data'!L31</f>
        <v>1.0000000384025043E-4</v>
      </c>
      <c r="V201" s="95"/>
      <c r="W201" s="95"/>
      <c r="X201" s="95"/>
      <c r="Y201" s="95"/>
      <c r="Z201" s="95"/>
      <c r="AA201" s="95"/>
    </row>
    <row r="202" spans="1:27" s="67" customFormat="1" x14ac:dyDescent="0.35">
      <c r="A202" s="106" t="s">
        <v>168</v>
      </c>
      <c r="B202" s="106" t="s">
        <v>197</v>
      </c>
      <c r="C202" s="76" t="s">
        <v>32</v>
      </c>
      <c r="D202" s="101">
        <f>'Stations Data'!$B35*Demand!B3</f>
        <v>3.2085900000000001E-2</v>
      </c>
      <c r="E202" s="101">
        <f>'Stations Data'!$B35*Demand!C3</f>
        <v>2.2807380000000002E-2</v>
      </c>
      <c r="F202" s="101">
        <f>'Stations Data'!$B35*Demand!D3</f>
        <v>2.2807380000000002E-2</v>
      </c>
      <c r="G202" s="101">
        <f>'Stations Data'!$B35*Demand!E3</f>
        <v>2.2807380000000002E-2</v>
      </c>
      <c r="H202" s="101">
        <f>'Stations Data'!$B35*Demand!F3</f>
        <v>1.7640300000000001E-2</v>
      </c>
      <c r="I202" s="101">
        <f>'Stations Data'!$B35*Demand!G3</f>
        <v>1.7640300000000001E-2</v>
      </c>
      <c r="J202" s="101">
        <f>'Stations Data'!$B35*Demand!H3</f>
        <v>1.7640300000000001E-2</v>
      </c>
      <c r="K202" s="101">
        <f>'Stations Data'!$B35*Demand!I3</f>
        <v>1.7112479999999999E-2</v>
      </c>
      <c r="L202" s="101">
        <f>'Stations Data'!$B35*Demand!J3</f>
        <v>1.7112479999999999E-2</v>
      </c>
      <c r="M202" s="101">
        <f>'Stations Data'!$B35*Demand!K3</f>
        <v>1.7112479999999999E-2</v>
      </c>
      <c r="N202" s="101">
        <f>'Stations Data'!$B35*Demand!L3</f>
        <v>2.4557519999999996E-2</v>
      </c>
      <c r="O202" s="101">
        <f>'Stations Data'!$B35*Demand!M3</f>
        <v>2.4557519999999996E-2</v>
      </c>
      <c r="P202" s="101">
        <f>'Stations Data'!$B35*Demand!N3</f>
        <v>2.4557519999999996E-2</v>
      </c>
      <c r="Q202" s="101">
        <f>'Stations Data'!$B35*Demand!O3</f>
        <v>3.3974940000000002E-2</v>
      </c>
      <c r="R202" s="101">
        <f>'Stations Data'!$B35*Demand!P3</f>
        <v>3.3974940000000002E-2</v>
      </c>
      <c r="S202" s="101">
        <f>'Stations Data'!$B35*Demand!Q3</f>
        <v>3.3974940000000002E-2</v>
      </c>
      <c r="T202" s="101">
        <f>'Stations Data'!$B35*Demand!R3</f>
        <v>3.8044710000000002E-2</v>
      </c>
      <c r="U202" s="101">
        <f>'Stations Data'!$B35*Demand!S3</f>
        <v>3.8044710000000002E-2</v>
      </c>
      <c r="V202" s="101">
        <f>'Stations Data'!$B35*Demand!T3</f>
        <v>3.8044710000000002E-2</v>
      </c>
      <c r="W202" s="101">
        <f>'Stations Data'!$B35*Demand!U3</f>
        <v>3.7086300000000003E-2</v>
      </c>
      <c r="X202" s="101">
        <f>'Stations Data'!$B35*Demand!V3</f>
        <v>3.7086300000000003E-2</v>
      </c>
      <c r="Y202" s="101">
        <f>'Stations Data'!$B35*Demand!W3</f>
        <v>3.7086300000000003E-2</v>
      </c>
      <c r="Z202" s="101">
        <f>'Stations Data'!$B35*Demand!X3</f>
        <v>3.2085900000000001E-2</v>
      </c>
      <c r="AA202" s="101">
        <f>'Stations Data'!$B35*Demand!Y3</f>
        <v>3.2085900000000001E-2</v>
      </c>
    </row>
    <row r="203" spans="1:27" s="67" customFormat="1" x14ac:dyDescent="0.35">
      <c r="A203" s="106"/>
      <c r="B203" s="106"/>
      <c r="C203" s="76" t="s">
        <v>45</v>
      </c>
      <c r="D203" s="95">
        <f>SUM($D200:D200)+SUM($D164:D164)-SUM($D208:D208)-SUM($D215:D215)-SUM($D224:D224)</f>
        <v>2829.2541999999994</v>
      </c>
      <c r="E203" s="95">
        <f>SUM($D200:E200)+SUM($D164:E164)-SUM($D208:E208)-SUM($D215:E215)-SUM($D224:E224)</f>
        <v>5923.1110999999983</v>
      </c>
      <c r="F203" s="95">
        <f>SUM($D200:F200)+SUM($D164:F164)-SUM($D208:F208)-SUM($D215:F215)-SUM($D224:F224)</f>
        <v>9086.6296999999995</v>
      </c>
      <c r="G203" s="95">
        <f>SUM($D200:G200)+SUM($D164:G164)-SUM($D208:G208)-SUM($D215:G215)-SUM($D224:G224)</f>
        <v>12274.424299999999</v>
      </c>
      <c r="H203" s="95">
        <f>SUM($D200:H200)+SUM($D164:H164)-SUM($D208:H208)-SUM($D215:H215)-SUM($D224:H224)</f>
        <v>15422.110699999997</v>
      </c>
      <c r="I203" s="95">
        <f>SUM($D200:I200)+SUM($D164:I164)-SUM($D208:I208)-SUM($D215:I215)-SUM($D224:I224)</f>
        <v>16439.973099999999</v>
      </c>
      <c r="J203" s="95">
        <f>SUM($D200:J200)+SUM($D164:J164)-SUM($D208:J208)-SUM($D215:J215)-SUM($D224:J224)</f>
        <v>16874.154999999999</v>
      </c>
      <c r="K203" s="95">
        <f>SUM($D200:K200)+SUM($D164:K164)-SUM($D208:K208)-SUM($D215:K215)-SUM($D224:K224)</f>
        <v>17074.5998</v>
      </c>
      <c r="L203" s="95">
        <f>SUM($D200:L200)+SUM($D164:L164)-SUM($D208:L208)-SUM($D215:L215)-SUM($D224:L224)</f>
        <v>17211.715799999998</v>
      </c>
      <c r="M203" s="95">
        <f>SUM($D200:M200)+SUM($D164:M164)-SUM($D208:M208)-SUM($D215:M215)-SUM($D224:M224)</f>
        <v>17314.000899999995</v>
      </c>
      <c r="N203" s="95">
        <f>SUM($D200:N200)+SUM($D164:N164)-SUM($D208:N208)-SUM($D215:N215)-SUM($D224:N224)</f>
        <v>17518.088199999995</v>
      </c>
      <c r="O203" s="95">
        <f>SUM($D200:O200)+SUM($D164:O164)-SUM($D208:O208)-SUM($D215:O215)-SUM($D224:O224)</f>
        <v>19738.007699999991</v>
      </c>
      <c r="P203" s="95">
        <f>SUM($D200:P200)+SUM($D164:P164)-SUM($D208:P208)-SUM($D215:P215)-SUM($D224:P224)</f>
        <v>21948.427799999994</v>
      </c>
      <c r="Q203" s="95">
        <f>SUM($D200:Q200)+SUM($D164:Q164)-SUM($D208:Q208)-SUM($D215:Q215)-SUM($D224:Q224)</f>
        <v>21460.958899999987</v>
      </c>
      <c r="R203" s="95">
        <f>SUM($D200:R200)+SUM($D164:R164)-SUM($D208:R208)-SUM($D215:R215)-SUM($D224:R224)</f>
        <v>21032.596899999993</v>
      </c>
      <c r="S203" s="95">
        <f>SUM($D200:S200)+SUM($D164:S164)-SUM($D208:S208)-SUM($D215:S215)-SUM($D224:S224)</f>
        <v>20677.062999999991</v>
      </c>
      <c r="T203" s="95">
        <f>SUM($D200:T200)+SUM($D164:T164)-SUM($D208:T208)-SUM($D215:T215)-SUM($D224:T224)</f>
        <v>20276.726399999992</v>
      </c>
      <c r="U203" s="95">
        <f>SUM($D200:U200)+SUM($D164:U164)-SUM($D208:U208)-SUM($D215:U215)-SUM($D224:U224)</f>
        <v>19806.728099999989</v>
      </c>
      <c r="V203" s="95">
        <f>SUM($D200:V200)+SUM($D164:V164)-SUM($D208:V208)-SUM($D215:V215)-SUM($D224:V224)</f>
        <v>19264.95719999999</v>
      </c>
      <c r="W203" s="95">
        <f>SUM($D200:W200)+SUM($D164:W164)-SUM($D208:W208)-SUM($D215:W215)-SUM($D224:W224)</f>
        <v>18661.385499999997</v>
      </c>
      <c r="X203" s="95">
        <f>SUM($D200:X200)+SUM($D164:X164)-SUM($D208:X208)-SUM($D215:X215)-SUM($D224:X224)</f>
        <v>18123.253599999996</v>
      </c>
      <c r="Y203" s="95">
        <f>SUM($D200:Y200)+SUM($D164:Y164)-SUM($D208:Y208)-SUM($D215:Y215)-SUM($D224:Y224)</f>
        <v>17661.1162</v>
      </c>
      <c r="Z203" s="95">
        <f>SUM($D200:Z200)+SUM($D164:Z164)-SUM($D208:Z208)-SUM($D215:Z215)-SUM($D224:Z224)</f>
        <v>19467.672400000014</v>
      </c>
      <c r="AA203" s="95">
        <f>SUM($D200:AA200)+SUM($D164:AA164)-SUM($D208:AA208)-SUM($D215:AA215)-SUM($D224:AA224)</f>
        <v>22119.606000000003</v>
      </c>
    </row>
    <row r="204" spans="1:27" s="67" customFormat="1" x14ac:dyDescent="0.35">
      <c r="A204" s="106"/>
      <c r="B204" s="106"/>
      <c r="C204" s="76" t="s">
        <v>46</v>
      </c>
      <c r="D204" s="95">
        <f>'Stations Data'!$H33-'Stations Data'!$J33+SUM(Demand!$B32:B32)-SUM(Demand!$B36:B36)+SUM(Demand!$B38:B38)</f>
        <v>-11817.446104465291</v>
      </c>
      <c r="E204" s="95">
        <f>'Stations Data'!$H33-'Stations Data'!$J33+SUM(Demand!$B32:C32)-SUM(Demand!$B36:C36)+SUM(Demand!$B38:C38)</f>
        <v>-10927.586923938292</v>
      </c>
      <c r="F204" s="95">
        <f>'Stations Data'!$H33-'Stations Data'!$J33+SUM(Demand!$B32:D32)-SUM(Demand!$B36:D36)+SUM(Demand!$B38:D38)</f>
        <v>-10042.10968125832</v>
      </c>
      <c r="G204" s="95">
        <f>'Stations Data'!$H33-'Stations Data'!$J33+SUM(Demand!$B32:E32)-SUM(Demand!$B36:E36)+SUM(Demand!$B38:E38)</f>
        <v>-9144.1409135142803</v>
      </c>
      <c r="H204" s="95">
        <f>'Stations Data'!$H33-'Stations Data'!$J33+SUM(Demand!$B32:F32)-SUM(Demand!$B36:F36)+SUM(Demand!$B38:F38)</f>
        <v>-8249.3487729892804</v>
      </c>
      <c r="I204" s="95">
        <f>'Stations Data'!$H33-'Stations Data'!$J33+SUM(Demand!$B32:G32)-SUM(Demand!$B36:G36)+SUM(Demand!$B38:G38)</f>
        <v>-7381.2492172029743</v>
      </c>
      <c r="J204" s="95">
        <f>'Stations Data'!$H33-'Stations Data'!$J33+SUM(Demand!$B32:H32)-SUM(Demand!$B36:H36)+SUM(Demand!$B38:H38)</f>
        <v>-5848.566965462498</v>
      </c>
      <c r="K204" s="95">
        <f>'Stations Data'!$H33-'Stations Data'!$J33+SUM(Demand!$B32:I32)-SUM(Demand!$B36:I36)+SUM(Demand!$B38:I38)</f>
        <v>-4333.3357710933587</v>
      </c>
      <c r="L204" s="95">
        <f>'Stations Data'!$H33-'Stations Data'!$J33+SUM(Demand!$B32:J32)-SUM(Demand!$B36:J36)+SUM(Demand!$B38:J38)</f>
        <v>-2766.851344202254</v>
      </c>
      <c r="M204" s="95">
        <f>'Stations Data'!$H33-'Stations Data'!$J33+SUM(Demand!$B32:K32)-SUM(Demand!$B36:K36)+SUM(Demand!$B38:K38)</f>
        <v>-1223.2756851502813</v>
      </c>
      <c r="N204" s="95">
        <f>'Stations Data'!$H33-'Stations Data'!$J33+SUM(Demand!$B32:L32)-SUM(Demand!$B36:L36)+SUM(Demand!$B38:L38)</f>
        <v>-362.07103659189579</v>
      </c>
      <c r="O204" s="95">
        <f>'Stations Data'!$H33-'Stations Data'!$J33+SUM(Demand!$B32:M32)-SUM(Demand!$B36:M36)+SUM(Demand!$B38:M38)</f>
        <v>535.62841621273674</v>
      </c>
      <c r="P204" s="95">
        <f>'Stations Data'!$H33-'Stations Data'!$J33+SUM(Demand!$B32:N32)-SUM(Demand!$B36:N36)+SUM(Demand!$B38:N38)</f>
        <v>1447.3939624357713</v>
      </c>
      <c r="Q204" s="95">
        <f>'Stations Data'!$H33-'Stations Data'!$J33+SUM(Demand!$B32:O32)-SUM(Demand!$B36:O36)+SUM(Demand!$B38:O38)</f>
        <v>2408.0543463422118</v>
      </c>
      <c r="R204" s="95">
        <f>'Stations Data'!$H33-'Stations Data'!$J33+SUM(Demand!$B32:P32)-SUM(Demand!$B36:P36)+SUM(Demand!$B38:P38)</f>
        <v>3393.3424020594771</v>
      </c>
      <c r="S204" s="95">
        <f>'Stations Data'!$H33-'Stations Data'!$J33+SUM(Demand!$B32:Q32)-SUM(Demand!$B36:Q36)+SUM(Demand!$B38:Q38)</f>
        <v>4343.4825774928995</v>
      </c>
      <c r="T204" s="95">
        <f>'Stations Data'!$H33-'Stations Data'!$J33+SUM(Demand!$B32:R32)-SUM(Demand!$B36:R36)+SUM(Demand!$B38:R38)</f>
        <v>4613.9793949976411</v>
      </c>
      <c r="U204" s="95">
        <f>'Stations Data'!$H33-'Stations Data'!$J33+SUM(Demand!$B32:S32)-SUM(Demand!$B36:S36)+SUM(Demand!$B38:S38)</f>
        <v>4931.9752233450681</v>
      </c>
      <c r="V204" s="95">
        <f>'Stations Data'!$H33-'Stations Data'!$J33+SUM(Demand!$B32:T32)-SUM(Demand!$B36:T36)+SUM(Demand!$B38:T38)</f>
        <v>5239.7497533791684</v>
      </c>
      <c r="W204" s="95">
        <f>'Stations Data'!$H33-'Stations Data'!$J33+SUM(Demand!$B32:U32)-SUM(Demand!$B36:U36)+SUM(Demand!$B38:U38)</f>
        <v>5505.8178348684723</v>
      </c>
      <c r="X204" s="95">
        <f>'Stations Data'!$H33-'Stations Data'!$J33+SUM(Demand!$B32:V32)-SUM(Demand!$B36:V36)+SUM(Demand!$B38:V38)</f>
        <v>6462.8622868909515</v>
      </c>
      <c r="Y204" s="95">
        <f>'Stations Data'!$H33-'Stations Data'!$J33+SUM(Demand!$B32:W32)-SUM(Demand!$B36:W36)+SUM(Demand!$B38:W38)</f>
        <v>7432.6971741371972</v>
      </c>
      <c r="Z204" s="95">
        <f>'Stations Data'!$H33-'Stations Data'!$J33+SUM(Demand!$B32:X32)-SUM(Demand!$B36:X36)+SUM(Demand!$B38:X38)</f>
        <v>8423.256332901261</v>
      </c>
      <c r="AA204" s="98">
        <f>'Stations Data'!$L33-'Stations Data'!$J33+SUM(Demand!$B32:Y32)-SUM(Demand!$B36:Y36)+SUM(Demand!$B38:Y38)</f>
        <v>22119.606</v>
      </c>
    </row>
    <row r="205" spans="1:27" s="67" customFormat="1" x14ac:dyDescent="0.35">
      <c r="A205" s="106"/>
      <c r="B205" s="106"/>
      <c r="C205" s="79" t="s">
        <v>47</v>
      </c>
      <c r="D205" s="95">
        <f>'Stations Data'!$N33-'Stations Data'!$J33+SUM(Demand!$B32:B32)-SUM(Demand!$B36:B36)+SUM(Demand!$B38:B38)</f>
        <v>19728.694740605133</v>
      </c>
      <c r="E205" s="95">
        <f>'Stations Data'!$N33-'Stations Data'!$J33+SUM(Demand!$B32:C32)-SUM(Demand!$B36:C36)+SUM(Demand!$B38:C38)</f>
        <v>20618.55392113213</v>
      </c>
      <c r="F205" s="95">
        <f>'Stations Data'!$N33-'Stations Data'!$J33+SUM(Demand!$B32:D32)-SUM(Demand!$B36:D36)+SUM(Demand!$B38:D38)</f>
        <v>21504.031163812102</v>
      </c>
      <c r="G205" s="95">
        <f>'Stations Data'!$N33-'Stations Data'!$J33+SUM(Demand!$B32:E32)-SUM(Demand!$B36:E36)+SUM(Demand!$B38:E38)</f>
        <v>22401.999931556144</v>
      </c>
      <c r="H205" s="95">
        <f>'Stations Data'!$N33-'Stations Data'!$J33+SUM(Demand!$B32:F32)-SUM(Demand!$B36:F36)+SUM(Demand!$B38:F38)</f>
        <v>23296.792072081138</v>
      </c>
      <c r="I205" s="95">
        <f>'Stations Data'!$N33-'Stations Data'!$J33+SUM(Demand!$B32:G32)-SUM(Demand!$B36:G36)+SUM(Demand!$B38:G38)</f>
        <v>24164.891627867448</v>
      </c>
      <c r="J205" s="95">
        <f>'Stations Data'!$N33-'Stations Data'!$J33+SUM(Demand!$B32:H32)-SUM(Demand!$B36:H36)+SUM(Demand!$B38:H38)</f>
        <v>25697.573879607924</v>
      </c>
      <c r="K205" s="95">
        <f>'Stations Data'!$N33-'Stations Data'!$J33+SUM(Demand!$B32:I32)-SUM(Demand!$B36:I36)+SUM(Demand!$B38:I38)</f>
        <v>27212.805073977062</v>
      </c>
      <c r="L205" s="95">
        <f>'Stations Data'!$N33-'Stations Data'!$J33+SUM(Demand!$B32:J32)-SUM(Demand!$B36:J36)+SUM(Demand!$B38:J38)</f>
        <v>28779.28950086817</v>
      </c>
      <c r="M205" s="95">
        <f>'Stations Data'!$N33-'Stations Data'!$J33+SUM(Demand!$B32:K32)-SUM(Demand!$B36:K36)+SUM(Demand!$B38:K38)</f>
        <v>30322.865159920144</v>
      </c>
      <c r="N205" s="95">
        <f>'Stations Data'!$N33-'Stations Data'!$J33+SUM(Demand!$B32:L32)-SUM(Demand!$B36:L36)+SUM(Demand!$B38:L38)</f>
        <v>31184.069808478525</v>
      </c>
      <c r="O205" s="95">
        <f>'Stations Data'!$N33-'Stations Data'!$J33+SUM(Demand!$B32:M32)-SUM(Demand!$B36:M36)+SUM(Demand!$B38:M38)</f>
        <v>32081.76926128316</v>
      </c>
      <c r="P205" s="95">
        <f>'Stations Data'!$N33-'Stations Data'!$J33+SUM(Demand!$B32:N32)-SUM(Demand!$B36:N36)+SUM(Demand!$B38:N38)</f>
        <v>32993.534807506192</v>
      </c>
      <c r="Q205" s="95">
        <f>'Stations Data'!$N33-'Stations Data'!$J33+SUM(Demand!$B32:O32)-SUM(Demand!$B36:O36)+SUM(Demand!$B38:O38)</f>
        <v>33954.195191412633</v>
      </c>
      <c r="R205" s="95">
        <f>'Stations Data'!$N33-'Stations Data'!$J33+SUM(Demand!$B32:P32)-SUM(Demand!$B36:P36)+SUM(Demand!$B38:P38)</f>
        <v>34939.483247129901</v>
      </c>
      <c r="S205" s="95">
        <f>'Stations Data'!$N33-'Stations Data'!$J33+SUM(Demand!$B32:Q32)-SUM(Demand!$B36:Q36)+SUM(Demand!$B38:Q38)</f>
        <v>35889.623422563316</v>
      </c>
      <c r="T205" s="95">
        <f>'Stations Data'!$N33-'Stations Data'!$J33+SUM(Demand!$B32:R32)-SUM(Demand!$B36:R36)+SUM(Demand!$B38:R38)</f>
        <v>36160.120240068063</v>
      </c>
      <c r="U205" s="95">
        <f>'Stations Data'!$N33-'Stations Data'!$J33+SUM(Demand!$B32:S32)-SUM(Demand!$B36:S36)+SUM(Demand!$B38:S38)</f>
        <v>36478.116068415497</v>
      </c>
      <c r="V205" s="95">
        <f>'Stations Data'!$N33-'Stations Data'!$J33+SUM(Demand!$B32:T32)-SUM(Demand!$B36:T36)+SUM(Demand!$B38:T38)</f>
        <v>36785.890598449594</v>
      </c>
      <c r="W205" s="95">
        <f>'Stations Data'!$N33-'Stations Data'!$J33+SUM(Demand!$B32:U32)-SUM(Demand!$B36:U36)+SUM(Demand!$B38:U38)</f>
        <v>37051.958679938893</v>
      </c>
      <c r="X205" s="95">
        <f>'Stations Data'!$N33-'Stations Data'!$J33+SUM(Demand!$B32:V32)-SUM(Demand!$B36:V36)+SUM(Demand!$B38:V38)</f>
        <v>38009.00313196137</v>
      </c>
      <c r="Y205" s="95">
        <f>'Stations Data'!$N33-'Stations Data'!$J33+SUM(Demand!$B32:W32)-SUM(Demand!$B36:W36)+SUM(Demand!$B38:W38)</f>
        <v>38978.838019207629</v>
      </c>
      <c r="Z205" s="95">
        <f>'Stations Data'!$N33-'Stations Data'!$J33+SUM(Demand!$B32:X32)-SUM(Demand!$B36:X36)+SUM(Demand!$B38:X38)</f>
        <v>39969.397177971681</v>
      </c>
      <c r="AA205" s="95">
        <f>'Stations Data'!$N33-'Stations Data'!$J33+SUM(Demand!$B32:Y32)-SUM(Demand!$B36:Y36)+SUM(Demand!$B38:Y38)</f>
        <v>40939.746845070425</v>
      </c>
    </row>
    <row r="206" spans="1:27" s="67" customFormat="1" x14ac:dyDescent="0.35">
      <c r="A206" s="106"/>
      <c r="B206" s="106"/>
      <c r="C206" s="76" t="s">
        <v>49</v>
      </c>
      <c r="D206" s="95">
        <f>Demand!B43</f>
        <v>1174.7492778249789</v>
      </c>
      <c r="E206" s="95">
        <f>Demand!C43</f>
        <v>1106.1430756159727</v>
      </c>
      <c r="F206" s="95">
        <f>Demand!D43</f>
        <v>1036.481393372982</v>
      </c>
      <c r="G206" s="95">
        <f>Demand!E43</f>
        <v>1012.2053525913338</v>
      </c>
      <c r="H206" s="95">
        <f>Demand!F43</f>
        <v>1052.3135938827527</v>
      </c>
      <c r="I206" s="95">
        <f>Demand!G43</f>
        <v>1182.1376380628717</v>
      </c>
      <c r="J206" s="95">
        <f>Demand!H43</f>
        <v>1765.8180968564145</v>
      </c>
      <c r="K206" s="95">
        <f>Demand!I43</f>
        <v>1890.3647408666097</v>
      </c>
      <c r="L206" s="95">
        <f>Demand!J43</f>
        <v>1953.6935429056923</v>
      </c>
      <c r="M206" s="95">
        <f>Demand!K43</f>
        <v>1988.5243840271876</v>
      </c>
      <c r="N206" s="95">
        <f>Demand!L43</f>
        <v>1995.9127442650806</v>
      </c>
      <c r="O206" s="95">
        <f>Demand!M43</f>
        <v>1980.0805437553099</v>
      </c>
      <c r="P206" s="95">
        <f>Demand!N43</f>
        <v>1989.5798640611722</v>
      </c>
      <c r="Q206" s="95">
        <f>Demand!O43</f>
        <v>1987.4689039932032</v>
      </c>
      <c r="R206" s="95">
        <f>Demand!P43</f>
        <v>1928.3620220900596</v>
      </c>
      <c r="S206" s="95">
        <f>Demand!Q43</f>
        <v>1855.5338997451147</v>
      </c>
      <c r="T206" s="95">
        <f>Demand!R43</f>
        <v>1950.5271028037382</v>
      </c>
      <c r="U206" s="95">
        <f>Demand!S43</f>
        <v>2020.1887850467288</v>
      </c>
      <c r="V206" s="95">
        <f>Demand!T43</f>
        <v>2091.961427357689</v>
      </c>
      <c r="W206" s="95">
        <f>Demand!U43</f>
        <v>2103.5717077315207</v>
      </c>
      <c r="X206" s="95">
        <f>Demand!V43</f>
        <v>2038.1319456244689</v>
      </c>
      <c r="Y206" s="95">
        <f>Demand!W43</f>
        <v>1962.13738317757</v>
      </c>
      <c r="Z206" s="95">
        <f>Demand!X43</f>
        <v>1577.9426508071367</v>
      </c>
      <c r="AA206" s="95">
        <f>Demand!Y43</f>
        <v>1352.0699235344093</v>
      </c>
    </row>
    <row r="207" spans="1:27" s="67" customFormat="1" x14ac:dyDescent="0.35">
      <c r="A207" s="106"/>
      <c r="B207" s="106"/>
      <c r="C207" s="76" t="s">
        <v>48</v>
      </c>
      <c r="D207" s="93">
        <f>SUM($D200:D200)+SUM($D164:D164)-SUM($D208:D208)-SUM($D215:D215)-SUM($D224:D224)+'Stations Data'!$J33-SUM(Demand!$B32:B32)+SUM(Demand!$B36:B36)-SUM(Demand!$B38:B38)</f>
        <v>40098.700304465288</v>
      </c>
      <c r="E207" s="93">
        <f>SUM($D200:E200)+SUM($D164:E164)-SUM($D208:E208)-SUM($D215:E215)-SUM($D224:E224)+'Stations Data'!$J33-SUM(Demand!$B32:C32)+SUM(Demand!$B36:C36)-SUM(Demand!$B38:C38)</f>
        <v>42302.69802393829</v>
      </c>
      <c r="F207" s="93">
        <f>SUM($D200:F200)+SUM($D164:F164)-SUM($D208:F208)-SUM($D215:F215)-SUM($D224:F224)+'Stations Data'!$J33-SUM(Demand!$B32:D32)+SUM(Demand!$B36:D36)-SUM(Demand!$B38:D38)</f>
        <v>44580.739381258325</v>
      </c>
      <c r="G207" s="93">
        <f>SUM($D200:G200)+SUM($D164:G164)-SUM($D208:G208)-SUM($D215:G215)-SUM($D224:G224)+'Stations Data'!$J33-SUM(Demand!$B32:E32)+SUM(Demand!$B36:E36)-SUM(Demand!$B38:E38)</f>
        <v>46870.565213514281</v>
      </c>
      <c r="H207" s="93">
        <f>SUM($D200:H200)+SUM($D164:H164)-SUM($D208:H208)-SUM($D215:H215)-SUM($D224:H224)+'Stations Data'!$J33-SUM(Demand!$B32:F32)+SUM(Demand!$B36:F36)-SUM(Demand!$B38:F38)</f>
        <v>49123.459472989278</v>
      </c>
      <c r="I207" s="93">
        <f>SUM($D200:I200)+SUM($D164:I164)-SUM($D208:I208)-SUM($D215:I215)-SUM($D224:I224)+'Stations Data'!$J33-SUM(Demand!$B32:G32)+SUM(Demand!$B36:G36)-SUM(Demand!$B38:G38)</f>
        <v>49273.222317202984</v>
      </c>
      <c r="J207" s="93">
        <f>SUM($D200:J200)+SUM($D164:J164)-SUM($D208:J208)-SUM($D215:J215)-SUM($D224:J224)+'Stations Data'!$J33-SUM(Demand!$B32:H32)+SUM(Demand!$B36:H36)-SUM(Demand!$B38:H38)</f>
        <v>48174.721965462493</v>
      </c>
      <c r="K207" s="93">
        <f>SUM($D200:K200)+SUM($D164:K164)-SUM($D208:K208)-SUM($D215:K215)-SUM($D224:K224)+'Stations Data'!$J33-SUM(Demand!$B32:I32)+SUM(Demand!$B36:I36)-SUM(Demand!$B38:I38)</f>
        <v>46859.93557109336</v>
      </c>
      <c r="L207" s="93">
        <f>SUM($D200:L200)+SUM($D164:L164)-SUM($D208:L208)-SUM($D215:L215)-SUM($D224:L224)+'Stations Data'!$J33-SUM(Demand!$B32:J32)+SUM(Demand!$B36:J36)-SUM(Demand!$B38:J38)</f>
        <v>45430.567144202258</v>
      </c>
      <c r="M207" s="93">
        <f>SUM($D200:M200)+SUM($D164:M164)-SUM($D208:M208)-SUM($D215:M215)-SUM($D224:M224)+'Stations Data'!$J33-SUM(Demand!$B32:K32)+SUM(Demand!$B36:K36)-SUM(Demand!$B38:K38)</f>
        <v>43989.276585150285</v>
      </c>
      <c r="N207" s="93">
        <f>SUM($D200:N200)+SUM($D164:N164)-SUM($D208:N208)-SUM($D215:N215)-SUM($D224:N224)+'Stations Data'!$J33-SUM(Demand!$B32:L32)+SUM(Demand!$B36:L36)-SUM(Demand!$B38:L38)</f>
        <v>43332.159236591899</v>
      </c>
      <c r="O207" s="93">
        <f>SUM($D200:O200)+SUM($D164:O164)-SUM($D208:O208)-SUM($D215:O215)-SUM($D224:O224)+'Stations Data'!$J33-SUM(Demand!$B32:M32)+SUM(Demand!$B36:M36)-SUM(Demand!$B38:M38)</f>
        <v>44654.379283787253</v>
      </c>
      <c r="P207" s="93">
        <f>SUM($D200:P200)+SUM($D164:P164)-SUM($D208:P208)-SUM($D215:P215)-SUM($D224:P224)+'Stations Data'!$J33-SUM(Demand!$B32:N32)+SUM(Demand!$B36:N36)-SUM(Demand!$B38:N38)</f>
        <v>45953.033837564224</v>
      </c>
      <c r="Q207" s="93">
        <f>SUM($D200:Q200)+SUM($D164:Q164)-SUM($D208:Q208)-SUM($D215:Q215)-SUM($D224:Q224)+'Stations Data'!$J33-SUM(Demand!$B32:O32)+SUM(Demand!$B36:O36)-SUM(Demand!$B38:O38)</f>
        <v>44504.904553657776</v>
      </c>
      <c r="R207" s="93">
        <f>SUM($D200:R200)+SUM($D164:R164)-SUM($D208:R208)-SUM($D215:R215)-SUM($D224:R224)+'Stations Data'!$J33-SUM(Demand!$B32:P32)+SUM(Demand!$B36:P36)-SUM(Demand!$B38:P38)</f>
        <v>43091.254497940521</v>
      </c>
      <c r="S207" s="93">
        <f>SUM($D200:S200)+SUM($D164:S164)-SUM($D208:S208)-SUM($D215:S215)-SUM($D224:S224)+'Stations Data'!$J33-SUM(Demand!$B32:Q32)+SUM(Demand!$B36:Q36)-SUM(Demand!$B38:Q38)</f>
        <v>41785.58042250709</v>
      </c>
      <c r="T207" s="93">
        <f>SUM($D200:T200)+SUM($D164:T164)-SUM($D208:T208)-SUM($D215:T215)-SUM($D224:T224)+'Stations Data'!$J33-SUM(Demand!$B32:R32)+SUM(Demand!$B36:R36)-SUM(Demand!$B38:R38)</f>
        <v>41114.747005002355</v>
      </c>
      <c r="U207" s="93">
        <f>SUM($D200:U200)+SUM($D164:U164)-SUM($D208:U208)-SUM($D215:U215)-SUM($D224:U224)+'Stations Data'!$J33-SUM(Demand!$B32:S32)+SUM(Demand!$B36:S36)-SUM(Demand!$B38:S38)</f>
        <v>40326.752876654929</v>
      </c>
      <c r="V207" s="93">
        <f>SUM($D200:V200)+SUM($D164:V164)-SUM($D208:V208)-SUM($D215:V215)-SUM($D224:V224)+'Stations Data'!$J33-SUM(Demand!$B32:T32)+SUM(Demand!$B36:T36)-SUM(Demand!$B38:T38)</f>
        <v>39477.207446620829</v>
      </c>
      <c r="W207" s="93">
        <f>SUM($D200:W200)+SUM($D164:W164)-SUM($D208:W208)-SUM($D215:W215)-SUM($D224:W224)+'Stations Data'!$J33-SUM(Demand!$B32:U32)+SUM(Demand!$B36:U36)-SUM(Demand!$B38:U38)</f>
        <v>38607.56766513153</v>
      </c>
      <c r="X207" s="93">
        <f>SUM($D200:X200)+SUM($D164:X164)-SUM($D208:X208)-SUM($D215:X215)-SUM($D224:X224)+'Stations Data'!$J33-SUM(Demand!$B32:V32)+SUM(Demand!$B36:V36)-SUM(Demand!$B38:V38)</f>
        <v>37112.391313109052</v>
      </c>
      <c r="Y207" s="93">
        <f>SUM($D200:Y200)+SUM($D164:Y164)-SUM($D208:Y208)-SUM($D215:Y215)-SUM($D224:Y224)+'Stations Data'!$J33-SUM(Demand!$B32:W32)+SUM(Demand!$B36:W36)-SUM(Demand!$B38:W38)</f>
        <v>35680.419025862808</v>
      </c>
      <c r="Z207" s="93">
        <f>SUM($D200:Z200)+SUM($D164:Z164)-SUM($D208:Z208)-SUM($D215:Z215)-SUM($D224:Z224)+'Stations Data'!$J33-SUM(Demand!$B32:X32)+SUM(Demand!$B36:X36)-SUM(Demand!$B38:X38)</f>
        <v>36496.416067098748</v>
      </c>
      <c r="AA207" s="93">
        <f>SUM($D200:AA200)+SUM($D164:AA164)-SUM($D208:AA208)-SUM($D215:AA215)-SUM($D224:AA224)+'Stations Data'!$J33-SUM(Demand!$B32:Y32)+SUM(Demand!$B36:Y36)-SUM(Demand!$B38:Y38)</f>
        <v>38177.999999999993</v>
      </c>
    </row>
    <row r="208" spans="1:27" s="67" customFormat="1" x14ac:dyDescent="0.35">
      <c r="A208" s="106"/>
      <c r="B208" s="106"/>
      <c r="C208" s="84" t="s">
        <v>107</v>
      </c>
      <c r="D208" s="95">
        <f>D295</f>
        <v>1174.7492999999999</v>
      </c>
      <c r="E208" s="95">
        <f t="shared" ref="E208:AA208" si="69">E295</f>
        <v>1106.1431</v>
      </c>
      <c r="F208" s="95">
        <f t="shared" si="69"/>
        <v>1036.4813999999999</v>
      </c>
      <c r="G208" s="95">
        <f t="shared" si="69"/>
        <v>1012.2054000000001</v>
      </c>
      <c r="H208" s="95">
        <f t="shared" si="69"/>
        <v>1052.3136</v>
      </c>
      <c r="I208" s="95">
        <f t="shared" si="69"/>
        <v>1182.1376</v>
      </c>
      <c r="J208" s="95">
        <f t="shared" si="69"/>
        <v>1765.8181</v>
      </c>
      <c r="K208" s="95">
        <f t="shared" si="69"/>
        <v>1890.3647000000001</v>
      </c>
      <c r="L208" s="95">
        <f t="shared" si="69"/>
        <v>1953.6935000000001</v>
      </c>
      <c r="M208" s="95">
        <f t="shared" si="69"/>
        <v>1988.5244</v>
      </c>
      <c r="N208" s="95">
        <f t="shared" si="69"/>
        <v>1995.9127000000001</v>
      </c>
      <c r="O208" s="95">
        <f t="shared" si="69"/>
        <v>1980.0805</v>
      </c>
      <c r="P208" s="95">
        <f t="shared" si="69"/>
        <v>1989.5799</v>
      </c>
      <c r="Q208" s="95">
        <f t="shared" si="69"/>
        <v>1987.4689000000001</v>
      </c>
      <c r="R208" s="95">
        <f t="shared" si="69"/>
        <v>1928.3620000000001</v>
      </c>
      <c r="S208" s="95">
        <f t="shared" si="69"/>
        <v>1855.5338999999999</v>
      </c>
      <c r="T208" s="95">
        <f t="shared" si="69"/>
        <v>1950.5271</v>
      </c>
      <c r="U208" s="95">
        <f t="shared" si="69"/>
        <v>2020.1887999999999</v>
      </c>
      <c r="V208" s="95">
        <f t="shared" si="69"/>
        <v>2091.9614000000001</v>
      </c>
      <c r="W208" s="95">
        <f t="shared" si="69"/>
        <v>2103.5717</v>
      </c>
      <c r="X208" s="95">
        <f t="shared" si="69"/>
        <v>2038.1319000000001</v>
      </c>
      <c r="Y208" s="95">
        <f t="shared" si="69"/>
        <v>1962.1374000000001</v>
      </c>
      <c r="Z208" s="95">
        <f t="shared" si="69"/>
        <v>1577.9427000000001</v>
      </c>
      <c r="AA208" s="95">
        <f t="shared" si="69"/>
        <v>1352.0699</v>
      </c>
    </row>
    <row r="209" spans="1:27" s="67" customFormat="1" x14ac:dyDescent="0.35">
      <c r="A209" s="106"/>
      <c r="B209" s="106"/>
      <c r="C209" s="88" t="s">
        <v>78</v>
      </c>
      <c r="D209" s="95">
        <f>SUM(D208:AA208)/4545</f>
        <v>9.0199999779977986</v>
      </c>
      <c r="E209" s="95" t="s">
        <v>5</v>
      </c>
      <c r="F209" s="95"/>
      <c r="G209" s="95"/>
      <c r="H209" s="95">
        <f>D209*4545*'Stations Data'!B35</f>
        <v>5694.3304961099993</v>
      </c>
      <c r="I209" s="95" t="s">
        <v>77</v>
      </c>
      <c r="J209" s="95"/>
      <c r="K209" s="95"/>
      <c r="L209" s="95">
        <f>SUMPRODUCT(D202:AA202,D208:AA208)</f>
        <v>1173.6374195287174</v>
      </c>
      <c r="M209" s="95" t="s">
        <v>71</v>
      </c>
      <c r="N209" s="95"/>
      <c r="O209" s="95">
        <f>(SUM(D209*4545/24*D202,D209*4545/24*E202,D209*4545/24*F202,D209*4545/24*G202,D209*4545/24*H202,D209*4545/24*I202,D209*4545/24*J202,D209*4545/24*K202,D209*4545/24*L202,D209*4545/24*M202,D209*4545/24*N202,D209*4545/24*O202,D209*4545/24*P202,D209*4545/24*Q202,D209*4545/24*R202,D209*4545/24*S202,D209*4545/24*T202,D209*4545/24*U202,D209*4545/24*V202,D209*4545/24*W202,D209*4545/24*X202,D209*4545/24*Y202,D209*4545/24*Z202,D209*4545/24*AA202)-SUMPRODUCT(D202:AA202,D208:AA208))</f>
        <v>-29.290527204211912</v>
      </c>
      <c r="P209" s="93" t="s">
        <v>70</v>
      </c>
      <c r="Q209" s="95"/>
      <c r="R209" s="93">
        <f>((D209*4545/24)*4-SUM(Q208:T208))*'Stations Data'!B35</f>
        <v>-123.51570222500003</v>
      </c>
      <c r="S209" s="96" t="s">
        <v>28</v>
      </c>
      <c r="T209" s="93"/>
      <c r="U209" s="93">
        <f>AA207-'Stations Data'!L33</f>
        <v>0</v>
      </c>
      <c r="V209" s="95"/>
      <c r="W209" s="95"/>
      <c r="X209" s="95"/>
      <c r="Y209" s="95"/>
      <c r="Z209" s="95"/>
      <c r="AA209" s="95"/>
    </row>
    <row r="210" spans="1:27" s="67" customFormat="1" x14ac:dyDescent="0.35">
      <c r="A210" s="106"/>
      <c r="B210" s="106" t="s">
        <v>198</v>
      </c>
      <c r="C210" s="76" t="s">
        <v>83</v>
      </c>
      <c r="D210" s="101">
        <f>'Stations Data'!$B36*Demand!B3</f>
        <v>4.0170900000000002E-2</v>
      </c>
      <c r="E210" s="101">
        <f>'Stations Data'!$B36*Demand!C3</f>
        <v>2.8554380000000001E-2</v>
      </c>
      <c r="F210" s="101">
        <f>'Stations Data'!$B36*Demand!D3</f>
        <v>2.8554380000000001E-2</v>
      </c>
      <c r="G210" s="101">
        <f>'Stations Data'!$B36*Demand!E3</f>
        <v>2.8554380000000001E-2</v>
      </c>
      <c r="H210" s="101">
        <f>'Stations Data'!$B36*Demand!F3</f>
        <v>2.2085299999999999E-2</v>
      </c>
      <c r="I210" s="101">
        <f>'Stations Data'!$B36*Demand!G3</f>
        <v>2.2085299999999999E-2</v>
      </c>
      <c r="J210" s="101">
        <f>'Stations Data'!$B36*Demand!H3</f>
        <v>2.2085299999999999E-2</v>
      </c>
      <c r="K210" s="101">
        <f>'Stations Data'!$B36*Demand!I3</f>
        <v>2.1424479999999999E-2</v>
      </c>
      <c r="L210" s="101">
        <f>'Stations Data'!$B36*Demand!J3</f>
        <v>2.1424479999999999E-2</v>
      </c>
      <c r="M210" s="101">
        <f>'Stations Data'!$B36*Demand!K3</f>
        <v>2.1424479999999999E-2</v>
      </c>
      <c r="N210" s="101">
        <f>'Stations Data'!$B36*Demand!L3</f>
        <v>3.0745519999999998E-2</v>
      </c>
      <c r="O210" s="101">
        <f>'Stations Data'!$B36*Demand!M3</f>
        <v>3.0745519999999998E-2</v>
      </c>
      <c r="P210" s="101">
        <f>'Stations Data'!$B36*Demand!N3</f>
        <v>3.0745519999999998E-2</v>
      </c>
      <c r="Q210" s="101">
        <f>'Stations Data'!$B36*Demand!O3</f>
        <v>4.2535940000000001E-2</v>
      </c>
      <c r="R210" s="101">
        <f>'Stations Data'!$B36*Demand!P3</f>
        <v>4.2535940000000001E-2</v>
      </c>
      <c r="S210" s="101">
        <f>'Stations Data'!$B36*Demand!Q3</f>
        <v>4.2535940000000001E-2</v>
      </c>
      <c r="T210" s="101">
        <f>'Stations Data'!$B36*Demand!R3</f>
        <v>4.7631210000000007E-2</v>
      </c>
      <c r="U210" s="101">
        <f>'Stations Data'!$B36*Demand!S3</f>
        <v>4.7631210000000007E-2</v>
      </c>
      <c r="V210" s="101">
        <f>'Stations Data'!$B36*Demand!T3</f>
        <v>4.7631210000000007E-2</v>
      </c>
      <c r="W210" s="101">
        <f>'Stations Data'!$B36*Demand!U3</f>
        <v>4.6431300000000002E-2</v>
      </c>
      <c r="X210" s="101">
        <f>'Stations Data'!$B36*Demand!V3</f>
        <v>4.6431300000000002E-2</v>
      </c>
      <c r="Y210" s="101">
        <f>'Stations Data'!$B36*Demand!W3</f>
        <v>4.6431300000000002E-2</v>
      </c>
      <c r="Z210" s="101">
        <f>'Stations Data'!$B36*Demand!X3</f>
        <v>4.0170900000000002E-2</v>
      </c>
      <c r="AA210" s="101">
        <f>'Stations Data'!$B36*Demand!Y3</f>
        <v>4.0170900000000002E-2</v>
      </c>
    </row>
    <row r="211" spans="1:27" s="67" customFormat="1" x14ac:dyDescent="0.35">
      <c r="A211" s="106"/>
      <c r="B211" s="106"/>
      <c r="C211" s="87" t="s">
        <v>49</v>
      </c>
      <c r="D211" s="95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6"/>
      <c r="R211" s="93"/>
      <c r="S211" s="93"/>
      <c r="T211" s="95"/>
      <c r="U211" s="95"/>
      <c r="V211" s="95"/>
      <c r="W211" s="95"/>
      <c r="X211" s="95"/>
      <c r="Y211" s="95"/>
      <c r="Z211" s="95"/>
      <c r="AA211" s="95"/>
    </row>
    <row r="212" spans="1:27" s="67" customFormat="1" x14ac:dyDescent="0.35">
      <c r="A212" s="106"/>
      <c r="B212" s="106"/>
      <c r="C212" s="87" t="s">
        <v>50</v>
      </c>
      <c r="D212" s="98">
        <f>(AA215-D215)</f>
        <v>0</v>
      </c>
      <c r="E212" s="93">
        <f>(D215-E215)</f>
        <v>0</v>
      </c>
      <c r="F212" s="93">
        <f t="shared" ref="F212:AA212" si="70">(E215-F215)</f>
        <v>0</v>
      </c>
      <c r="G212" s="93">
        <f t="shared" si="70"/>
        <v>0</v>
      </c>
      <c r="H212" s="93">
        <f t="shared" si="70"/>
        <v>0</v>
      </c>
      <c r="I212" s="93">
        <f t="shared" si="70"/>
        <v>0</v>
      </c>
      <c r="J212" s="93">
        <f t="shared" si="70"/>
        <v>0</v>
      </c>
      <c r="K212" s="93">
        <f t="shared" si="70"/>
        <v>0</v>
      </c>
      <c r="L212" s="93">
        <f t="shared" si="70"/>
        <v>0</v>
      </c>
      <c r="M212" s="93">
        <f t="shared" si="70"/>
        <v>0</v>
      </c>
      <c r="N212" s="93">
        <f t="shared" si="70"/>
        <v>0</v>
      </c>
      <c r="O212" s="93">
        <f t="shared" si="70"/>
        <v>0</v>
      </c>
      <c r="P212" s="93">
        <f t="shared" si="70"/>
        <v>0</v>
      </c>
      <c r="Q212" s="93">
        <f t="shared" si="70"/>
        <v>0</v>
      </c>
      <c r="R212" s="93">
        <f t="shared" si="70"/>
        <v>0</v>
      </c>
      <c r="S212" s="93">
        <f t="shared" si="70"/>
        <v>0</v>
      </c>
      <c r="T212" s="93">
        <f t="shared" si="70"/>
        <v>50.190499999999929</v>
      </c>
      <c r="U212" s="93">
        <f t="shared" si="70"/>
        <v>0</v>
      </c>
      <c r="V212" s="93">
        <f t="shared" si="70"/>
        <v>0</v>
      </c>
      <c r="W212" s="93">
        <f t="shared" si="70"/>
        <v>-50.190499999999929</v>
      </c>
      <c r="X212" s="93">
        <f t="shared" si="70"/>
        <v>0</v>
      </c>
      <c r="Y212" s="93">
        <f t="shared" si="70"/>
        <v>0</v>
      </c>
      <c r="Z212" s="93">
        <f t="shared" si="70"/>
        <v>0</v>
      </c>
      <c r="AA212" s="93">
        <f t="shared" si="70"/>
        <v>0</v>
      </c>
    </row>
    <row r="213" spans="1:27" s="67" customFormat="1" x14ac:dyDescent="0.35">
      <c r="A213" s="106"/>
      <c r="B213" s="106"/>
      <c r="C213" s="87" t="s">
        <v>51</v>
      </c>
      <c r="D213" s="98">
        <f>-(AA215-D215)</f>
        <v>0</v>
      </c>
      <c r="E213" s="93">
        <f>-(D215-E215)</f>
        <v>0</v>
      </c>
      <c r="F213" s="93">
        <f t="shared" ref="F213:AA213" si="71">-(E215-F215)</f>
        <v>0</v>
      </c>
      <c r="G213" s="93">
        <f t="shared" si="71"/>
        <v>0</v>
      </c>
      <c r="H213" s="93">
        <f t="shared" si="71"/>
        <v>0</v>
      </c>
      <c r="I213" s="93">
        <f t="shared" si="71"/>
        <v>0</v>
      </c>
      <c r="J213" s="93">
        <f t="shared" si="71"/>
        <v>0</v>
      </c>
      <c r="K213" s="93">
        <f t="shared" si="71"/>
        <v>0</v>
      </c>
      <c r="L213" s="93">
        <f t="shared" si="71"/>
        <v>0</v>
      </c>
      <c r="M213" s="93">
        <f t="shared" si="71"/>
        <v>0</v>
      </c>
      <c r="N213" s="93">
        <f t="shared" si="71"/>
        <v>0</v>
      </c>
      <c r="O213" s="93">
        <f t="shared" si="71"/>
        <v>0</v>
      </c>
      <c r="P213" s="93">
        <f t="shared" si="71"/>
        <v>0</v>
      </c>
      <c r="Q213" s="93">
        <f t="shared" si="71"/>
        <v>0</v>
      </c>
      <c r="R213" s="93">
        <f t="shared" si="71"/>
        <v>0</v>
      </c>
      <c r="S213" s="93">
        <f t="shared" si="71"/>
        <v>0</v>
      </c>
      <c r="T213" s="93">
        <f t="shared" si="71"/>
        <v>-50.190499999999929</v>
      </c>
      <c r="U213" s="93">
        <f t="shared" si="71"/>
        <v>0</v>
      </c>
      <c r="V213" s="93">
        <f t="shared" si="71"/>
        <v>0</v>
      </c>
      <c r="W213" s="93">
        <f t="shared" si="71"/>
        <v>50.190499999999929</v>
      </c>
      <c r="X213" s="93">
        <f t="shared" si="71"/>
        <v>0</v>
      </c>
      <c r="Y213" s="93">
        <f t="shared" si="71"/>
        <v>0</v>
      </c>
      <c r="Z213" s="93">
        <f t="shared" si="71"/>
        <v>0</v>
      </c>
      <c r="AA213" s="93">
        <f t="shared" si="71"/>
        <v>0</v>
      </c>
    </row>
    <row r="214" spans="1:27" s="67" customFormat="1" x14ac:dyDescent="0.35">
      <c r="A214" s="106"/>
      <c r="B214" s="106"/>
      <c r="C214" s="87" t="s">
        <v>52</v>
      </c>
      <c r="D214" s="95">
        <v>3000</v>
      </c>
      <c r="E214" s="93" t="s">
        <v>44</v>
      </c>
      <c r="F214" s="93"/>
      <c r="G214" s="93">
        <f>SUM(D296:AA296)</f>
        <v>2999.9999659999999</v>
      </c>
      <c r="H214" s="93"/>
      <c r="I214" s="93"/>
      <c r="J214" s="95"/>
      <c r="K214" s="95"/>
      <c r="L214" s="95"/>
      <c r="M214" s="95"/>
      <c r="N214" s="95"/>
      <c r="O214" s="95"/>
      <c r="P214" s="95"/>
      <c r="Q214" s="96"/>
      <c r="R214" s="93"/>
      <c r="S214" s="93"/>
      <c r="T214" s="95"/>
      <c r="U214" s="95"/>
      <c r="V214" s="95"/>
      <c r="W214" s="95"/>
      <c r="X214" s="95"/>
      <c r="Y214" s="95"/>
      <c r="Z214" s="95"/>
      <c r="AA214" s="95"/>
    </row>
    <row r="215" spans="1:27" s="67" customFormat="1" x14ac:dyDescent="0.35">
      <c r="A215" s="106"/>
      <c r="B215" s="106"/>
      <c r="C215" s="84" t="s">
        <v>108</v>
      </c>
      <c r="D215" s="95">
        <f>D297</f>
        <v>1500</v>
      </c>
      <c r="E215" s="93">
        <f t="shared" ref="E215:AA215" si="72">E297</f>
        <v>1500</v>
      </c>
      <c r="F215" s="93">
        <f t="shared" si="72"/>
        <v>1500</v>
      </c>
      <c r="G215" s="93">
        <f t="shared" si="72"/>
        <v>1500</v>
      </c>
      <c r="H215" s="93">
        <f t="shared" si="72"/>
        <v>1500</v>
      </c>
      <c r="I215" s="93">
        <f t="shared" si="72"/>
        <v>1500</v>
      </c>
      <c r="J215" s="93">
        <f t="shared" si="72"/>
        <v>1500</v>
      </c>
      <c r="K215" s="93">
        <f t="shared" si="72"/>
        <v>1500</v>
      </c>
      <c r="L215" s="93">
        <f t="shared" si="72"/>
        <v>1500</v>
      </c>
      <c r="M215" s="93">
        <f t="shared" si="72"/>
        <v>1500</v>
      </c>
      <c r="N215" s="93">
        <f t="shared" si="72"/>
        <v>1500</v>
      </c>
      <c r="O215" s="93">
        <f t="shared" si="72"/>
        <v>1500</v>
      </c>
      <c r="P215" s="93">
        <f t="shared" si="72"/>
        <v>1500</v>
      </c>
      <c r="Q215" s="93">
        <f t="shared" si="72"/>
        <v>1500</v>
      </c>
      <c r="R215" s="93">
        <f t="shared" si="72"/>
        <v>1500</v>
      </c>
      <c r="S215" s="93">
        <f t="shared" si="72"/>
        <v>1500</v>
      </c>
      <c r="T215" s="93">
        <f t="shared" si="72"/>
        <v>1449.8095000000001</v>
      </c>
      <c r="U215" s="93">
        <f t="shared" si="72"/>
        <v>1449.8095000000001</v>
      </c>
      <c r="V215" s="93">
        <f t="shared" si="72"/>
        <v>1449.8095000000001</v>
      </c>
      <c r="W215" s="93">
        <f t="shared" si="72"/>
        <v>1500</v>
      </c>
      <c r="X215" s="93">
        <f t="shared" si="72"/>
        <v>1500</v>
      </c>
      <c r="Y215" s="93">
        <f t="shared" si="72"/>
        <v>1500</v>
      </c>
      <c r="Z215" s="93">
        <f t="shared" si="72"/>
        <v>1500</v>
      </c>
      <c r="AA215" s="93">
        <f t="shared" si="72"/>
        <v>1500</v>
      </c>
    </row>
    <row r="216" spans="1:27" s="67" customFormat="1" x14ac:dyDescent="0.35">
      <c r="A216" s="106"/>
      <c r="B216" s="106"/>
      <c r="C216" s="85" t="s">
        <v>99</v>
      </c>
      <c r="D216" s="102">
        <f>SUM(D215:AA215)/4545</f>
        <v>7.8876630363036293</v>
      </c>
      <c r="E216" s="93" t="s">
        <v>5</v>
      </c>
      <c r="F216" s="93"/>
      <c r="G216" s="93"/>
      <c r="H216" s="95">
        <f>D216*4545*'Stations Data'!B36</f>
        <v>6234.2156161499988</v>
      </c>
      <c r="I216" s="93" t="s">
        <v>77</v>
      </c>
      <c r="J216" s="93"/>
      <c r="K216" s="93"/>
      <c r="L216" s="95">
        <f>SUMPRODUCT(D210:AA210,D215:AA215)</f>
        <v>1250.9337322634854</v>
      </c>
      <c r="M216" s="95" t="s">
        <v>71</v>
      </c>
      <c r="N216" s="95"/>
      <c r="O216" s="95">
        <f>(SUM(D216*4545/24*D210,D216*4545/24*E210,D216*4545/24*F210,D216*4545/24*G210,D216*4545/24*H210,D216*4545/24*I210,D216*4545/24*J210,D216*4545/24*K210,D216*4545/24*L210,D216*4545/24*M210,D216*4545/24*N210,D216*4545/24*O210,D216*4545/24*P210,D216*4545/24*Q210,D216*4545/24*R210,D216*4545/24*S210,D216*4545/24*T210,D216*4545/24*U210,D216*4545/24*V210,D216*4545/24*W210,D216*4545/24*X210,D216*4545/24*Y210,D216*4545/24*Z210,D216*4545/24*AA210)-SUMPRODUCT(D210:AA210,D215:AA215))</f>
        <v>1.9098234970585963</v>
      </c>
      <c r="P216" s="93" t="s">
        <v>70</v>
      </c>
      <c r="Q216" s="95"/>
      <c r="R216" s="93">
        <f>((D216*4545/24)*4-SUM(Q215:T215))*'Stations Data'!B36</f>
        <v>4.3640639749997368</v>
      </c>
      <c r="S216" s="96"/>
      <c r="T216" s="93"/>
      <c r="U216" s="93"/>
      <c r="V216" s="95"/>
      <c r="W216" s="95"/>
      <c r="X216" s="95"/>
      <c r="Y216" s="95"/>
      <c r="Z216" s="95"/>
      <c r="AA216" s="95"/>
    </row>
    <row r="217" spans="1:27" s="67" customFormat="1" x14ac:dyDescent="0.35">
      <c r="A217" s="106"/>
      <c r="B217" s="106" t="s">
        <v>199</v>
      </c>
      <c r="C217" s="79" t="s">
        <v>84</v>
      </c>
      <c r="D217" s="101">
        <f>'Stations Data'!$B37*Demand!B3</f>
        <v>8.4730800000000009E-2</v>
      </c>
      <c r="E217" s="101">
        <f>'Stations Data'!$B37*Demand!C3</f>
        <v>6.0228560000000007E-2</v>
      </c>
      <c r="F217" s="101">
        <f>'Stations Data'!$B37*Demand!D3</f>
        <v>6.0228560000000007E-2</v>
      </c>
      <c r="G217" s="101">
        <f>'Stations Data'!$B37*Demand!E3</f>
        <v>6.0228560000000007E-2</v>
      </c>
      <c r="H217" s="101">
        <f>'Stations Data'!$B37*Demand!F3</f>
        <v>4.6583600000000003E-2</v>
      </c>
      <c r="I217" s="101">
        <f>'Stations Data'!$B37*Demand!G3</f>
        <v>4.6583600000000003E-2</v>
      </c>
      <c r="J217" s="101">
        <f>'Stations Data'!$B37*Demand!H3</f>
        <v>4.6583600000000003E-2</v>
      </c>
      <c r="K217" s="101">
        <f>'Stations Data'!$B37*Demand!I3</f>
        <v>4.5189760000000002E-2</v>
      </c>
      <c r="L217" s="101">
        <f>'Stations Data'!$B37*Demand!J3</f>
        <v>4.5189760000000002E-2</v>
      </c>
      <c r="M217" s="101">
        <f>'Stations Data'!$B37*Demand!K3</f>
        <v>4.5189760000000002E-2</v>
      </c>
      <c r="N217" s="101">
        <f>'Stations Data'!$B37*Demand!L3</f>
        <v>6.4850240000000003E-2</v>
      </c>
      <c r="O217" s="101">
        <f>'Stations Data'!$B37*Demand!M3</f>
        <v>6.4850240000000003E-2</v>
      </c>
      <c r="P217" s="101">
        <f>'Stations Data'!$B37*Demand!N3</f>
        <v>6.4850240000000003E-2</v>
      </c>
      <c r="Q217" s="101">
        <f>'Stations Data'!$B37*Demand!O3</f>
        <v>8.9719280000000012E-2</v>
      </c>
      <c r="R217" s="101">
        <f>'Stations Data'!$B37*Demand!P3</f>
        <v>8.9719280000000012E-2</v>
      </c>
      <c r="S217" s="101">
        <f>'Stations Data'!$B37*Demand!Q3</f>
        <v>8.9719280000000012E-2</v>
      </c>
      <c r="T217" s="101">
        <f>'Stations Data'!$B37*Demand!R3</f>
        <v>0.10046652000000002</v>
      </c>
      <c r="U217" s="101">
        <f>'Stations Data'!$B37*Demand!S3</f>
        <v>0.10046652000000002</v>
      </c>
      <c r="V217" s="101">
        <f>'Stations Data'!$B37*Demand!T3</f>
        <v>0.10046652000000002</v>
      </c>
      <c r="W217" s="101">
        <f>'Stations Data'!$B37*Demand!U3</f>
        <v>9.7935600000000012E-2</v>
      </c>
      <c r="X217" s="101">
        <f>'Stations Data'!$B37*Demand!V3</f>
        <v>9.7935600000000012E-2</v>
      </c>
      <c r="Y217" s="101">
        <f>'Stations Data'!$B37*Demand!W3</f>
        <v>9.7935600000000012E-2</v>
      </c>
      <c r="Z217" s="101">
        <f>'Stations Data'!$B37*Demand!X3</f>
        <v>8.4730800000000009E-2</v>
      </c>
      <c r="AA217" s="101">
        <f>'Stations Data'!$B37*Demand!Y3</f>
        <v>8.4730800000000009E-2</v>
      </c>
    </row>
    <row r="218" spans="1:27" s="67" customFormat="1" x14ac:dyDescent="0.35">
      <c r="A218" s="106"/>
      <c r="B218" s="106"/>
      <c r="C218" s="79" t="s">
        <v>105</v>
      </c>
      <c r="D218" s="95">
        <f>2000*D298</f>
        <v>0</v>
      </c>
      <c r="E218" s="95">
        <f t="shared" ref="E218:AA218" si="73">2000*E298</f>
        <v>0</v>
      </c>
      <c r="F218" s="95">
        <f t="shared" si="73"/>
        <v>0</v>
      </c>
      <c r="G218" s="95">
        <f t="shared" si="73"/>
        <v>0</v>
      </c>
      <c r="H218" s="95">
        <f t="shared" si="73"/>
        <v>0</v>
      </c>
      <c r="I218" s="95">
        <f t="shared" si="73"/>
        <v>2000</v>
      </c>
      <c r="J218" s="95">
        <f t="shared" si="73"/>
        <v>2000</v>
      </c>
      <c r="K218" s="95">
        <f t="shared" si="73"/>
        <v>2000</v>
      </c>
      <c r="L218" s="95">
        <f t="shared" si="73"/>
        <v>2000</v>
      </c>
      <c r="M218" s="95">
        <f t="shared" si="73"/>
        <v>2000</v>
      </c>
      <c r="N218" s="95">
        <f t="shared" si="73"/>
        <v>2000</v>
      </c>
      <c r="O218" s="95">
        <f t="shared" si="73"/>
        <v>0</v>
      </c>
      <c r="P218" s="95">
        <f t="shared" si="73"/>
        <v>0</v>
      </c>
      <c r="Q218" s="95">
        <f t="shared" si="73"/>
        <v>0</v>
      </c>
      <c r="R218" s="95">
        <f t="shared" si="73"/>
        <v>0</v>
      </c>
      <c r="S218" s="95">
        <f t="shared" si="73"/>
        <v>0</v>
      </c>
      <c r="T218" s="95">
        <f t="shared" si="73"/>
        <v>0</v>
      </c>
      <c r="U218" s="95">
        <f t="shared" si="73"/>
        <v>0</v>
      </c>
      <c r="V218" s="95">
        <f t="shared" si="73"/>
        <v>0</v>
      </c>
      <c r="W218" s="95">
        <f t="shared" si="73"/>
        <v>0</v>
      </c>
      <c r="X218" s="95">
        <f t="shared" si="73"/>
        <v>0</v>
      </c>
      <c r="Y218" s="95">
        <f t="shared" si="73"/>
        <v>0</v>
      </c>
      <c r="Z218" s="95">
        <f t="shared" si="73"/>
        <v>0</v>
      </c>
      <c r="AA218" s="95">
        <f t="shared" si="73"/>
        <v>0</v>
      </c>
    </row>
    <row r="219" spans="1:27" s="67" customFormat="1" x14ac:dyDescent="0.35">
      <c r="A219" s="106"/>
      <c r="B219" s="106"/>
      <c r="C219" s="79" t="s">
        <v>66</v>
      </c>
      <c r="D219" s="95">
        <f>3500*D298</f>
        <v>0</v>
      </c>
      <c r="E219" s="95">
        <f t="shared" ref="E219:AA219" si="74">3500*E298</f>
        <v>0</v>
      </c>
      <c r="F219" s="95">
        <f t="shared" si="74"/>
        <v>0</v>
      </c>
      <c r="G219" s="95">
        <f t="shared" si="74"/>
        <v>0</v>
      </c>
      <c r="H219" s="95">
        <f t="shared" si="74"/>
        <v>0</v>
      </c>
      <c r="I219" s="95">
        <f t="shared" si="74"/>
        <v>3500</v>
      </c>
      <c r="J219" s="95">
        <f t="shared" si="74"/>
        <v>3500</v>
      </c>
      <c r="K219" s="95">
        <f t="shared" si="74"/>
        <v>3500</v>
      </c>
      <c r="L219" s="95">
        <f t="shared" si="74"/>
        <v>3500</v>
      </c>
      <c r="M219" s="95">
        <f t="shared" si="74"/>
        <v>3500</v>
      </c>
      <c r="N219" s="95">
        <f t="shared" si="74"/>
        <v>3500</v>
      </c>
      <c r="O219" s="95">
        <f t="shared" si="74"/>
        <v>0</v>
      </c>
      <c r="P219" s="95">
        <f t="shared" si="74"/>
        <v>0</v>
      </c>
      <c r="Q219" s="95">
        <f t="shared" si="74"/>
        <v>0</v>
      </c>
      <c r="R219" s="95">
        <f t="shared" si="74"/>
        <v>0</v>
      </c>
      <c r="S219" s="95">
        <f t="shared" si="74"/>
        <v>0</v>
      </c>
      <c r="T219" s="95">
        <f t="shared" si="74"/>
        <v>0</v>
      </c>
      <c r="U219" s="95">
        <f t="shared" si="74"/>
        <v>0</v>
      </c>
      <c r="V219" s="95">
        <f t="shared" si="74"/>
        <v>0</v>
      </c>
      <c r="W219" s="95">
        <f t="shared" si="74"/>
        <v>0</v>
      </c>
      <c r="X219" s="95">
        <f t="shared" si="74"/>
        <v>0</v>
      </c>
      <c r="Y219" s="95">
        <f t="shared" si="74"/>
        <v>0</v>
      </c>
      <c r="Z219" s="95">
        <f t="shared" si="74"/>
        <v>0</v>
      </c>
      <c r="AA219" s="95">
        <f t="shared" si="74"/>
        <v>0</v>
      </c>
    </row>
    <row r="220" spans="1:27" s="67" customFormat="1" x14ac:dyDescent="0.35">
      <c r="A220" s="106"/>
      <c r="B220" s="106"/>
      <c r="C220" s="76" t="s">
        <v>49</v>
      </c>
      <c r="D220" s="95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6"/>
      <c r="R220" s="93"/>
      <c r="S220" s="93"/>
      <c r="T220" s="95"/>
      <c r="U220" s="95"/>
      <c r="V220" s="95"/>
      <c r="W220" s="95"/>
      <c r="X220" s="95"/>
      <c r="Y220" s="95"/>
      <c r="Z220" s="95"/>
      <c r="AA220" s="95"/>
    </row>
    <row r="221" spans="1:27" s="67" customFormat="1" x14ac:dyDescent="0.35">
      <c r="A221" s="106"/>
      <c r="B221" s="106"/>
      <c r="C221" s="87" t="s">
        <v>50</v>
      </c>
      <c r="D221" s="98">
        <f>(AA224-D224)</f>
        <v>0</v>
      </c>
      <c r="E221" s="93">
        <f>(D224-E224)</f>
        <v>0</v>
      </c>
      <c r="F221" s="93">
        <f t="shared" ref="F221:AA221" si="75">(E224-F224)</f>
        <v>0</v>
      </c>
      <c r="G221" s="93">
        <f t="shared" si="75"/>
        <v>0</v>
      </c>
      <c r="H221" s="93">
        <f t="shared" si="75"/>
        <v>0</v>
      </c>
      <c r="I221" s="93">
        <f t="shared" si="75"/>
        <v>-2000</v>
      </c>
      <c r="J221" s="93">
        <f t="shared" si="75"/>
        <v>0</v>
      </c>
      <c r="K221" s="93">
        <f t="shared" si="75"/>
        <v>-109.19050000000016</v>
      </c>
      <c r="L221" s="93">
        <f t="shared" si="75"/>
        <v>0</v>
      </c>
      <c r="M221" s="93">
        <f t="shared" si="75"/>
        <v>0</v>
      </c>
      <c r="N221" s="93">
        <f t="shared" si="75"/>
        <v>109.19050000000016</v>
      </c>
      <c r="O221" s="93">
        <f t="shared" si="75"/>
        <v>2000</v>
      </c>
      <c r="P221" s="93">
        <f t="shared" si="75"/>
        <v>0</v>
      </c>
      <c r="Q221" s="93">
        <f t="shared" si="75"/>
        <v>0</v>
      </c>
      <c r="R221" s="93">
        <f t="shared" si="75"/>
        <v>0</v>
      </c>
      <c r="S221" s="93">
        <f t="shared" si="75"/>
        <v>0</v>
      </c>
      <c r="T221" s="93">
        <f t="shared" si="75"/>
        <v>0</v>
      </c>
      <c r="U221" s="93">
        <f t="shared" si="75"/>
        <v>0</v>
      </c>
      <c r="V221" s="93">
        <f t="shared" si="75"/>
        <v>0</v>
      </c>
      <c r="W221" s="93">
        <f t="shared" si="75"/>
        <v>0</v>
      </c>
      <c r="X221" s="93">
        <f t="shared" si="75"/>
        <v>0</v>
      </c>
      <c r="Y221" s="93">
        <f t="shared" si="75"/>
        <v>0</v>
      </c>
      <c r="Z221" s="93">
        <f t="shared" si="75"/>
        <v>0</v>
      </c>
      <c r="AA221" s="93">
        <f t="shared" si="75"/>
        <v>0</v>
      </c>
    </row>
    <row r="222" spans="1:27" s="67" customFormat="1" x14ac:dyDescent="0.35">
      <c r="A222" s="106"/>
      <c r="B222" s="106"/>
      <c r="C222" s="87" t="s">
        <v>51</v>
      </c>
      <c r="D222" s="98">
        <f>-(AA224-D224)</f>
        <v>0</v>
      </c>
      <c r="E222" s="93">
        <f>-(D224-E224)</f>
        <v>0</v>
      </c>
      <c r="F222" s="93">
        <f t="shared" ref="F222:AA222" si="76">-(E224-F224)</f>
        <v>0</v>
      </c>
      <c r="G222" s="93">
        <f t="shared" si="76"/>
        <v>0</v>
      </c>
      <c r="H222" s="93">
        <f t="shared" si="76"/>
        <v>0</v>
      </c>
      <c r="I222" s="93">
        <f t="shared" si="76"/>
        <v>2000</v>
      </c>
      <c r="J222" s="93">
        <f t="shared" si="76"/>
        <v>0</v>
      </c>
      <c r="K222" s="93">
        <f t="shared" si="76"/>
        <v>109.19050000000016</v>
      </c>
      <c r="L222" s="93">
        <f t="shared" si="76"/>
        <v>0</v>
      </c>
      <c r="M222" s="93">
        <f t="shared" si="76"/>
        <v>0</v>
      </c>
      <c r="N222" s="93">
        <f t="shared" si="76"/>
        <v>-109.19050000000016</v>
      </c>
      <c r="O222" s="93">
        <f t="shared" si="76"/>
        <v>-2000</v>
      </c>
      <c r="P222" s="93">
        <f t="shared" si="76"/>
        <v>0</v>
      </c>
      <c r="Q222" s="93">
        <f t="shared" si="76"/>
        <v>0</v>
      </c>
      <c r="R222" s="93">
        <f t="shared" si="76"/>
        <v>0</v>
      </c>
      <c r="S222" s="93">
        <f t="shared" si="76"/>
        <v>0</v>
      </c>
      <c r="T222" s="93">
        <f t="shared" si="76"/>
        <v>0</v>
      </c>
      <c r="U222" s="93">
        <f t="shared" si="76"/>
        <v>0</v>
      </c>
      <c r="V222" s="93">
        <f t="shared" si="76"/>
        <v>0</v>
      </c>
      <c r="W222" s="93">
        <f t="shared" si="76"/>
        <v>0</v>
      </c>
      <c r="X222" s="93">
        <f t="shared" si="76"/>
        <v>0</v>
      </c>
      <c r="Y222" s="93">
        <f t="shared" si="76"/>
        <v>0</v>
      </c>
      <c r="Z222" s="93">
        <f t="shared" si="76"/>
        <v>0</v>
      </c>
      <c r="AA222" s="93">
        <f t="shared" si="76"/>
        <v>0</v>
      </c>
    </row>
    <row r="223" spans="1:27" s="67" customFormat="1" x14ac:dyDescent="0.35">
      <c r="A223" s="106"/>
      <c r="B223" s="106"/>
      <c r="C223" s="87" t="s">
        <v>52</v>
      </c>
      <c r="D223" s="95">
        <v>6000</v>
      </c>
      <c r="E223" s="93" t="s">
        <v>44</v>
      </c>
      <c r="F223" s="93"/>
      <c r="G223" s="93">
        <f>SUM(D299:AA299)</f>
        <v>6000.0000300000002</v>
      </c>
      <c r="H223" s="93"/>
      <c r="I223" s="93"/>
      <c r="J223" s="95"/>
      <c r="K223" s="95"/>
      <c r="L223" s="95"/>
      <c r="M223" s="95"/>
      <c r="N223" s="95"/>
      <c r="O223" s="95"/>
      <c r="P223" s="95"/>
      <c r="Q223" s="96"/>
      <c r="R223" s="93"/>
      <c r="S223" s="93"/>
      <c r="T223" s="95"/>
      <c r="U223" s="95"/>
      <c r="V223" s="95"/>
      <c r="W223" s="95"/>
      <c r="X223" s="95"/>
      <c r="Y223" s="95"/>
      <c r="Z223" s="95"/>
      <c r="AA223" s="95"/>
    </row>
    <row r="224" spans="1:27" s="67" customFormat="1" x14ac:dyDescent="0.35">
      <c r="A224" s="106"/>
      <c r="B224" s="106"/>
      <c r="C224" s="84" t="s">
        <v>108</v>
      </c>
      <c r="D224" s="95">
        <f>D300</f>
        <v>0</v>
      </c>
      <c r="E224" s="93">
        <f t="shared" ref="E224:AA224" si="77">E300</f>
        <v>0</v>
      </c>
      <c r="F224" s="93">
        <f t="shared" si="77"/>
        <v>0</v>
      </c>
      <c r="G224" s="93">
        <f t="shared" si="77"/>
        <v>0</v>
      </c>
      <c r="H224" s="93">
        <f t="shared" si="77"/>
        <v>0</v>
      </c>
      <c r="I224" s="93">
        <f t="shared" si="77"/>
        <v>2000</v>
      </c>
      <c r="J224" s="93">
        <f t="shared" si="77"/>
        <v>2000</v>
      </c>
      <c r="K224" s="93">
        <f t="shared" si="77"/>
        <v>2109.1905000000002</v>
      </c>
      <c r="L224" s="93">
        <f t="shared" si="77"/>
        <v>2109.1905000000002</v>
      </c>
      <c r="M224" s="93">
        <f t="shared" si="77"/>
        <v>2109.1905000000002</v>
      </c>
      <c r="N224" s="93">
        <f t="shared" si="77"/>
        <v>2000</v>
      </c>
      <c r="O224" s="93">
        <f t="shared" si="77"/>
        <v>0</v>
      </c>
      <c r="P224" s="93">
        <f t="shared" si="77"/>
        <v>0</v>
      </c>
      <c r="Q224" s="93">
        <f t="shared" si="77"/>
        <v>0</v>
      </c>
      <c r="R224" s="93">
        <f t="shared" si="77"/>
        <v>0</v>
      </c>
      <c r="S224" s="93">
        <f t="shared" si="77"/>
        <v>0</v>
      </c>
      <c r="T224" s="93">
        <f t="shared" si="77"/>
        <v>0</v>
      </c>
      <c r="U224" s="93">
        <f t="shared" si="77"/>
        <v>0</v>
      </c>
      <c r="V224" s="93">
        <f t="shared" si="77"/>
        <v>0</v>
      </c>
      <c r="W224" s="93">
        <f t="shared" si="77"/>
        <v>0</v>
      </c>
      <c r="X224" s="93">
        <f t="shared" si="77"/>
        <v>0</v>
      </c>
      <c r="Y224" s="93">
        <f t="shared" si="77"/>
        <v>0</v>
      </c>
      <c r="Z224" s="93">
        <f t="shared" si="77"/>
        <v>0</v>
      </c>
      <c r="AA224" s="93">
        <f t="shared" si="77"/>
        <v>0</v>
      </c>
    </row>
    <row r="225" spans="1:27" s="67" customFormat="1" x14ac:dyDescent="0.35">
      <c r="A225" s="106"/>
      <c r="B225" s="106"/>
      <c r="C225" s="85" t="s">
        <v>91</v>
      </c>
      <c r="D225" s="102">
        <f>SUM(D224:AA224)/4545</f>
        <v>2.7123369636963699</v>
      </c>
      <c r="E225" s="93" t="s">
        <v>5</v>
      </c>
      <c r="F225" s="93"/>
      <c r="G225" s="93"/>
      <c r="H225" s="95">
        <f>D225*4545*'Stations Data'!B37</f>
        <v>4521.7532262000004</v>
      </c>
      <c r="I225" s="93" t="s">
        <v>77</v>
      </c>
      <c r="J225" s="93"/>
      <c r="K225" s="93"/>
      <c r="L225" s="95">
        <f>SUMPRODUCT(D217:AA217,D224:AA224)</f>
        <v>601.97631746783998</v>
      </c>
      <c r="M225" s="95" t="s">
        <v>71</v>
      </c>
      <c r="N225" s="95"/>
      <c r="O225" s="95">
        <f>(SUM(D225*4545/24*D217,D225*4545/24*E217,D225*4545/24*F217,D225*4545/24*G217,D225*4545/24*H217,D225*4545/24*I217,D225*4545/24*J217,D225*4545/24*K217,D225*4545/24*L217,D225*4545/24*M217,D225*4545/24*N217,D225*4545/24*O217,D225*4545/24*P217,D225*4545/24*Q217,D225*4545/24*R217,D225*4545/24*S217,D225*4545/24*T217,D225*4545/24*U217,D225*4545/24*V217,D225*4545/24*W217,D225*4545/24*X217,D225*4545/24*Y217,D225*4545/24*Z217,D225*4545/24*AA217)-SUMPRODUCT(D217:AA217,D224:AA224))</f>
        <v>306.72651525237779</v>
      </c>
      <c r="P225" s="93" t="s">
        <v>70</v>
      </c>
      <c r="Q225" s="95"/>
      <c r="R225" s="93">
        <f>(D225*4545/24-T224)*'Stations Data'!B37</f>
        <v>188.40638442500003</v>
      </c>
      <c r="S225" s="96"/>
      <c r="T225" s="93"/>
      <c r="U225" s="93"/>
      <c r="V225" s="95"/>
      <c r="W225" s="95"/>
      <c r="X225" s="95"/>
      <c r="Y225" s="95"/>
      <c r="Z225" s="95"/>
      <c r="AA225" s="95"/>
    </row>
    <row r="226" spans="1:27" s="67" customFormat="1" x14ac:dyDescent="0.35">
      <c r="A226" s="106" t="s">
        <v>169</v>
      </c>
      <c r="B226" s="106"/>
      <c r="C226" s="76" t="s">
        <v>45</v>
      </c>
      <c r="D226" s="95">
        <f>SUM($D215:D215)+SUM($D224:D224)-SUM($D233:D233)</f>
        <v>-150.52579999999989</v>
      </c>
      <c r="E226" s="95">
        <f>SUM($D215:E215)+SUM($D224:E224)-SUM($D233:E233)</f>
        <v>-301.05159999999978</v>
      </c>
      <c r="F226" s="95">
        <f>SUM($D215:F215)+SUM($D224:F224)-SUM($D233:F233)</f>
        <v>-451.57740000000013</v>
      </c>
      <c r="G226" s="95">
        <f>SUM($D215:G215)+SUM($D224:G224)-SUM($D233:G233)</f>
        <v>-602.10319999999956</v>
      </c>
      <c r="H226" s="95">
        <f>SUM($D215:H215)+SUM($D224:H224)-SUM($D233:H233)</f>
        <v>-752.628999999999</v>
      </c>
      <c r="I226" s="95">
        <f>SUM($D215:I215)+SUM($D224:I224)-SUM($D233:I233)</f>
        <v>-337.4513999999981</v>
      </c>
      <c r="J226" s="95">
        <f>SUM($D215:J215)+SUM($D224:J224)-SUM($D233:J233)</f>
        <v>77.726200000000972</v>
      </c>
      <c r="K226" s="95">
        <f>SUM($D215:K215)+SUM($D224:K224)-SUM($D233:K233)</f>
        <v>602.09430000000066</v>
      </c>
      <c r="L226" s="95">
        <f>SUM($D215:L215)+SUM($D224:L224)-SUM($D233:L233)</f>
        <v>1126.4624000000003</v>
      </c>
      <c r="M226" s="95">
        <f>SUM($D215:M215)+SUM($D224:M224)-SUM($D233:M233)</f>
        <v>1650.8305</v>
      </c>
      <c r="N226" s="95">
        <f>SUM($D215:N215)+SUM($D224:N224)-SUM($D233:N233)</f>
        <v>2662.2118999999984</v>
      </c>
      <c r="O226" s="95">
        <f>SUM($D215:O215)+SUM($D224:O224)-SUM($D233:O233)</f>
        <v>2577.3894999999975</v>
      </c>
      <c r="P226" s="95">
        <f>SUM($D215:P215)+SUM($D224:P224)-SUM($D233:P233)</f>
        <v>2492.5670999999966</v>
      </c>
      <c r="Q226" s="95">
        <f>SUM($D215:Q215)+SUM($D224:Q224)-SUM($D233:Q233)</f>
        <v>2407.7446999999993</v>
      </c>
      <c r="R226" s="95">
        <f>SUM($D215:R215)+SUM($D224:R224)-SUM($D233:R233)</f>
        <v>2322.9222999999984</v>
      </c>
      <c r="S226" s="95">
        <f>SUM($D215:S215)+SUM($D224:S224)-SUM($D233:S233)</f>
        <v>2238.0999000000011</v>
      </c>
      <c r="T226" s="95">
        <f>SUM($D215:T215)+SUM($D224:T224)-SUM($D233:T233)</f>
        <v>2103.0869999999995</v>
      </c>
      <c r="U226" s="95">
        <f>SUM($D215:U215)+SUM($D224:U224)-SUM($D233:U233)</f>
        <v>1968.074099999998</v>
      </c>
      <c r="V226" s="95">
        <f>SUM($D215:V215)+SUM($D224:V224)-SUM($D233:V233)</f>
        <v>1833.0612000000037</v>
      </c>
      <c r="W226" s="95">
        <f>SUM($D215:W215)+SUM($D224:W224)-SUM($D233:W233)</f>
        <v>1748.2388000000064</v>
      </c>
      <c r="X226" s="95">
        <f>SUM($D215:X215)+SUM($D224:X224)-SUM($D233:X233)</f>
        <v>1663.4164000000092</v>
      </c>
      <c r="Y226" s="95">
        <f>SUM($D215:Y215)+SUM($D224:Y224)-SUM($D233:Y233)</f>
        <v>1578.5940000000119</v>
      </c>
      <c r="Z226" s="95">
        <f>SUM($D215:Z215)+SUM($D224:Z224)-SUM($D233:Z233)</f>
        <v>1493.7716000000146</v>
      </c>
      <c r="AA226" s="95">
        <f>SUM($D215:AA215)+SUM($D224:AA224)-SUM($D233:AA233)</f>
        <v>1408.9492000000173</v>
      </c>
    </row>
    <row r="227" spans="1:27" s="67" customFormat="1" x14ac:dyDescent="0.35">
      <c r="A227" s="106"/>
      <c r="B227" s="106"/>
      <c r="C227" s="76" t="s">
        <v>46</v>
      </c>
      <c r="D227" s="95">
        <f ca="1">'Stations Data'!$H36-'Stations Data'!$J36+SUM(Demand!$B47:B47)+SUM(Demand!$B45:B45)</f>
        <v>-1304.7937499999991</v>
      </c>
      <c r="E227" s="95">
        <f ca="1">'Stations Data'!$H36-'Stations Data'!$J36+SUM(Demand!$B47:C47)+SUM(Demand!$B45:C45)</f>
        <v>-1246.0874999999992</v>
      </c>
      <c r="F227" s="95">
        <f ca="1">'Stations Data'!$H36-'Stations Data'!$J36+SUM(Demand!$B47:D47)+SUM(Demand!$B45:D45)</f>
        <v>-1187.381249999999</v>
      </c>
      <c r="G227" s="95">
        <f ca="1">'Stations Data'!$H36-'Stations Data'!$J36+SUM(Demand!$B47:E47)+SUM(Demand!$B45:E45)</f>
        <v>-1128.674999999999</v>
      </c>
      <c r="H227" s="95">
        <f ca="1">'Stations Data'!$H36-'Stations Data'!$J36+SUM(Demand!$B47:F47)+SUM(Demand!$B45:F45)</f>
        <v>-1069.9687499999991</v>
      </c>
      <c r="I227" s="95">
        <f ca="1">'Stations Data'!$H36-'Stations Data'!$J36+SUM(Demand!$B47:G47)+SUM(Demand!$B45:G45)</f>
        <v>-1011.2624999999991</v>
      </c>
      <c r="J227" s="95">
        <f ca="1">'Stations Data'!$H36-'Stations Data'!$J36+SUM(Demand!$B47:H47)+SUM(Demand!$B45:H45)</f>
        <v>-952.55624999999907</v>
      </c>
      <c r="K227" s="95">
        <f ca="1">'Stations Data'!$H36-'Stations Data'!$J36+SUM(Demand!$B47:I47)+SUM(Demand!$B45:I45)</f>
        <v>-893.849999999999</v>
      </c>
      <c r="L227" s="95">
        <f ca="1">'Stations Data'!$H36-'Stations Data'!$J36+SUM(Demand!$B47:J47)+SUM(Demand!$B45:J45)</f>
        <v>-835.14374999999905</v>
      </c>
      <c r="M227" s="95">
        <f ca="1">'Stations Data'!$H36-'Stations Data'!$J36+SUM(Demand!$B47:K47)+SUM(Demand!$B45:K45)</f>
        <v>-776.43749999999909</v>
      </c>
      <c r="N227" s="95">
        <f ca="1">'Stations Data'!$H36-'Stations Data'!$J36+SUM(Demand!$B47:L47)+SUM(Demand!$B45:L45)</f>
        <v>-717.73124999999914</v>
      </c>
      <c r="O227" s="95">
        <f ca="1">'Stations Data'!$H36-'Stations Data'!$J36+SUM(Demand!$B47:M47)+SUM(Demand!$B45:M45)</f>
        <v>-659.02499999999918</v>
      </c>
      <c r="P227" s="95">
        <f ca="1">'Stations Data'!$H36-'Stations Data'!$J36+SUM(Demand!$B47:N47)+SUM(Demand!$B45:N45)</f>
        <v>-600.31874999999923</v>
      </c>
      <c r="Q227" s="95">
        <f ca="1">'Stations Data'!$H36-'Stations Data'!$J36+SUM(Demand!$B47:O47)+SUM(Demand!$B45:O45)</f>
        <v>-541.61249999999927</v>
      </c>
      <c r="R227" s="95">
        <f ca="1">'Stations Data'!$H36-'Stations Data'!$J36+SUM(Demand!$B47:P47)+SUM(Demand!$B45:P45)</f>
        <v>-482.90624999999932</v>
      </c>
      <c r="S227" s="95">
        <f ca="1">'Stations Data'!$H36-'Stations Data'!$J36+SUM(Demand!$B47:Q47)+SUM(Demand!$B45:Q45)</f>
        <v>-424.19999999999936</v>
      </c>
      <c r="T227" s="95">
        <f ca="1">'Stations Data'!$H36-'Stations Data'!$J36+SUM(Demand!$B47:R47)+SUM(Demand!$B45:R45)</f>
        <v>-365.49374999999941</v>
      </c>
      <c r="U227" s="95">
        <f ca="1">'Stations Data'!$H36-'Stations Data'!$J36+SUM(Demand!$B47:S47)+SUM(Demand!$B45:S45)</f>
        <v>-306.78749999999945</v>
      </c>
      <c r="V227" s="95">
        <f ca="1">'Stations Data'!$H36-'Stations Data'!$J36+SUM(Demand!$B47:T47)+SUM(Demand!$B45:T45)</f>
        <v>-248.0812499999995</v>
      </c>
      <c r="W227" s="95">
        <f ca="1">'Stations Data'!$H36-'Stations Data'!$J36+SUM(Demand!$B47:U47)+SUM(Demand!$B45:U45)</f>
        <v>-189.37499999999955</v>
      </c>
      <c r="X227" s="95">
        <f ca="1">'Stations Data'!$H36-'Stations Data'!$J36+SUM(Demand!$B47:V47)+SUM(Demand!$B45:V45)</f>
        <v>-130.66874999999959</v>
      </c>
      <c r="Y227" s="95">
        <f ca="1">'Stations Data'!$H36-'Stations Data'!$J36+SUM(Demand!$B47:W47)+SUM(Demand!$B45:W45)</f>
        <v>-71.962499999999636</v>
      </c>
      <c r="Z227" s="95">
        <f ca="1">'Stations Data'!$H36-'Stations Data'!$J36+SUM(Demand!$B47:X47)+SUM(Demand!$B45:X45)</f>
        <v>-13.256249999999682</v>
      </c>
      <c r="AA227" s="98">
        <f ca="1">'Stations Data'!$L36-'Stations Data'!$J36+SUM(Demand!$B47:Y47)+SUM(Demand!$B45:Y45)</f>
        <v>1408.9499999999994</v>
      </c>
    </row>
    <row r="228" spans="1:27" s="67" customFormat="1" x14ac:dyDescent="0.35">
      <c r="A228" s="106"/>
      <c r="B228" s="106"/>
      <c r="C228" s="76" t="s">
        <v>47</v>
      </c>
      <c r="D228" s="95">
        <f ca="1">'Stations Data'!$N36-'Stations Data'!$J36+SUM(Demand!$B47:B47)+SUM(Demand!$B45:B45)</f>
        <v>2075.1499119718314</v>
      </c>
      <c r="E228" s="95">
        <f ca="1">'Stations Data'!$N36-'Stations Data'!$J36+SUM(Demand!$B47:C47)+SUM(Demand!$B45:C45)</f>
        <v>2133.8561619718312</v>
      </c>
      <c r="F228" s="95">
        <f ca="1">'Stations Data'!$N36-'Stations Data'!$J36+SUM(Demand!$B47:D47)+SUM(Demand!$B45:D45)</f>
        <v>2192.5624119718314</v>
      </c>
      <c r="G228" s="95">
        <f ca="1">'Stations Data'!$N36-'Stations Data'!$J36+SUM(Demand!$B47:E47)+SUM(Demand!$B45:E45)</f>
        <v>2251.2686619718311</v>
      </c>
      <c r="H228" s="95">
        <f ca="1">'Stations Data'!$N36-'Stations Data'!$J36+SUM(Demand!$B47:F47)+SUM(Demand!$B45:F45)</f>
        <v>2309.9749119718313</v>
      </c>
      <c r="I228" s="95">
        <f ca="1">'Stations Data'!$N36-'Stations Data'!$J36+SUM(Demand!$B47:G47)+SUM(Demand!$B45:G45)</f>
        <v>2368.6811619718314</v>
      </c>
      <c r="J228" s="95">
        <f ca="1">'Stations Data'!$N36-'Stations Data'!$J36+SUM(Demand!$B47:H47)+SUM(Demand!$B45:H45)</f>
        <v>2427.3874119718312</v>
      </c>
      <c r="K228" s="95">
        <f ca="1">'Stations Data'!$N36-'Stations Data'!$J36+SUM(Demand!$B47:I47)+SUM(Demand!$B45:I45)</f>
        <v>2486.0936619718314</v>
      </c>
      <c r="L228" s="95">
        <f ca="1">'Stations Data'!$N36-'Stations Data'!$J36+SUM(Demand!$B47:J47)+SUM(Demand!$B45:J45)</f>
        <v>2544.7999119718315</v>
      </c>
      <c r="M228" s="95">
        <f ca="1">'Stations Data'!$N36-'Stations Data'!$J36+SUM(Demand!$B47:K47)+SUM(Demand!$B45:K45)</f>
        <v>2603.5061619718313</v>
      </c>
      <c r="N228" s="95">
        <f ca="1">'Stations Data'!$N36-'Stations Data'!$J36+SUM(Demand!$B47:L47)+SUM(Demand!$B45:L45)</f>
        <v>2662.212411971831</v>
      </c>
      <c r="O228" s="95">
        <f ca="1">'Stations Data'!$N36-'Stations Data'!$J36+SUM(Demand!$B47:M47)+SUM(Demand!$B45:M45)</f>
        <v>2720.9186619718312</v>
      </c>
      <c r="P228" s="95">
        <f ca="1">'Stations Data'!$N36-'Stations Data'!$J36+SUM(Demand!$B47:N47)+SUM(Demand!$B45:N45)</f>
        <v>2779.6249119718314</v>
      </c>
      <c r="Q228" s="95">
        <f ca="1">'Stations Data'!$N36-'Stations Data'!$J36+SUM(Demand!$B47:O47)+SUM(Demand!$B45:O45)</f>
        <v>2838.3311619718311</v>
      </c>
      <c r="R228" s="95">
        <f ca="1">'Stations Data'!$N36-'Stations Data'!$J36+SUM(Demand!$B47:P47)+SUM(Demand!$B45:P45)</f>
        <v>2897.0374119718308</v>
      </c>
      <c r="S228" s="95">
        <f ca="1">'Stations Data'!$N36-'Stations Data'!$J36+SUM(Demand!$B47:Q47)+SUM(Demand!$B45:Q45)</f>
        <v>2955.743661971831</v>
      </c>
      <c r="T228" s="95">
        <f ca="1">'Stations Data'!$N36-'Stations Data'!$J36+SUM(Demand!$B47:R47)+SUM(Demand!$B45:R45)</f>
        <v>3014.4499119718312</v>
      </c>
      <c r="U228" s="95">
        <f ca="1">'Stations Data'!$N36-'Stations Data'!$J36+SUM(Demand!$B47:S47)+SUM(Demand!$B45:S45)</f>
        <v>3073.1561619718309</v>
      </c>
      <c r="V228" s="95">
        <f ca="1">'Stations Data'!$N36-'Stations Data'!$J36+SUM(Demand!$B47:T47)+SUM(Demand!$B45:T45)</f>
        <v>3131.8624119718306</v>
      </c>
      <c r="W228" s="95">
        <f ca="1">'Stations Data'!$N36-'Stations Data'!$J36+SUM(Demand!$B47:U47)+SUM(Demand!$B45:U45)</f>
        <v>3190.5686619718308</v>
      </c>
      <c r="X228" s="95">
        <f ca="1">'Stations Data'!$N36-'Stations Data'!$J36+SUM(Demand!$B47:V47)+SUM(Demand!$B45:V45)</f>
        <v>3249.274911971831</v>
      </c>
      <c r="Y228" s="95">
        <f ca="1">'Stations Data'!$N36-'Stations Data'!$J36+SUM(Demand!$B47:W47)+SUM(Demand!$B45:W45)</f>
        <v>3307.9811619718307</v>
      </c>
      <c r="Z228" s="95">
        <f ca="1">'Stations Data'!$N36-'Stations Data'!$J36+SUM(Demand!$B47:X47)+SUM(Demand!$B45:X45)</f>
        <v>3366.6874119718304</v>
      </c>
      <c r="AA228" s="95">
        <f ca="1">'Stations Data'!$N36-'Stations Data'!$J36+SUM(Demand!$B47:Y47)+SUM(Demand!$B45:Y45)</f>
        <v>3425.3936619718306</v>
      </c>
    </row>
    <row r="229" spans="1:27" s="67" customFormat="1" x14ac:dyDescent="0.35">
      <c r="A229" s="106"/>
      <c r="B229" s="106"/>
      <c r="C229" s="76" t="s">
        <v>50</v>
      </c>
      <c r="D229" s="98">
        <f>(AA233-D233)</f>
        <v>-65.703399999999874</v>
      </c>
      <c r="E229" s="93">
        <f>(D233-E233)</f>
        <v>0</v>
      </c>
      <c r="F229" s="93">
        <f t="shared" ref="F229:AA229" si="78">(E233-F233)</f>
        <v>0</v>
      </c>
      <c r="G229" s="93">
        <f t="shared" si="78"/>
        <v>0</v>
      </c>
      <c r="H229" s="93">
        <f t="shared" si="78"/>
        <v>0</v>
      </c>
      <c r="I229" s="93">
        <f t="shared" si="78"/>
        <v>-1434.2966000000001</v>
      </c>
      <c r="J229" s="93">
        <f t="shared" si="78"/>
        <v>0</v>
      </c>
      <c r="K229" s="93">
        <f t="shared" si="78"/>
        <v>0</v>
      </c>
      <c r="L229" s="93">
        <f t="shared" si="78"/>
        <v>0</v>
      </c>
      <c r="M229" s="93">
        <f t="shared" si="78"/>
        <v>0</v>
      </c>
      <c r="N229" s="93">
        <f t="shared" si="78"/>
        <v>596.20380000000023</v>
      </c>
      <c r="O229" s="93">
        <f t="shared" si="78"/>
        <v>903.79619999999977</v>
      </c>
      <c r="P229" s="93">
        <f t="shared" si="78"/>
        <v>0</v>
      </c>
      <c r="Q229" s="93">
        <f t="shared" si="78"/>
        <v>0</v>
      </c>
      <c r="R229" s="93">
        <f t="shared" si="78"/>
        <v>0</v>
      </c>
      <c r="S229" s="93">
        <f t="shared" si="78"/>
        <v>0</v>
      </c>
      <c r="T229" s="93">
        <f t="shared" si="78"/>
        <v>0</v>
      </c>
      <c r="U229" s="93">
        <f t="shared" si="78"/>
        <v>0</v>
      </c>
      <c r="V229" s="93">
        <f t="shared" si="78"/>
        <v>0</v>
      </c>
      <c r="W229" s="93">
        <f t="shared" si="78"/>
        <v>0</v>
      </c>
      <c r="X229" s="93">
        <f t="shared" si="78"/>
        <v>0</v>
      </c>
      <c r="Y229" s="93">
        <f t="shared" si="78"/>
        <v>0</v>
      </c>
      <c r="Z229" s="93">
        <f t="shared" si="78"/>
        <v>0</v>
      </c>
      <c r="AA229" s="93">
        <f t="shared" si="78"/>
        <v>0</v>
      </c>
    </row>
    <row r="230" spans="1:27" s="67" customFormat="1" x14ac:dyDescent="0.35">
      <c r="A230" s="106"/>
      <c r="B230" s="106"/>
      <c r="C230" s="76" t="s">
        <v>51</v>
      </c>
      <c r="D230" s="98">
        <f>-(AA233-D233)</f>
        <v>65.703399999999874</v>
      </c>
      <c r="E230" s="93">
        <f>-(D233-E233)</f>
        <v>0</v>
      </c>
      <c r="F230" s="93">
        <f t="shared" ref="F230:AA230" si="79">-(E233-F233)</f>
        <v>0</v>
      </c>
      <c r="G230" s="93">
        <f t="shared" si="79"/>
        <v>0</v>
      </c>
      <c r="H230" s="93">
        <f t="shared" si="79"/>
        <v>0</v>
      </c>
      <c r="I230" s="93">
        <f t="shared" si="79"/>
        <v>1434.2966000000001</v>
      </c>
      <c r="J230" s="93">
        <f t="shared" si="79"/>
        <v>0</v>
      </c>
      <c r="K230" s="93">
        <f t="shared" si="79"/>
        <v>0</v>
      </c>
      <c r="L230" s="93">
        <f t="shared" si="79"/>
        <v>0</v>
      </c>
      <c r="M230" s="93">
        <f t="shared" si="79"/>
        <v>0</v>
      </c>
      <c r="N230" s="93">
        <f t="shared" si="79"/>
        <v>-596.20380000000023</v>
      </c>
      <c r="O230" s="93">
        <f t="shared" si="79"/>
        <v>-903.79619999999977</v>
      </c>
      <c r="P230" s="93">
        <f t="shared" si="79"/>
        <v>0</v>
      </c>
      <c r="Q230" s="93">
        <f t="shared" si="79"/>
        <v>0</v>
      </c>
      <c r="R230" s="93">
        <f t="shared" si="79"/>
        <v>0</v>
      </c>
      <c r="S230" s="93">
        <f t="shared" si="79"/>
        <v>0</v>
      </c>
      <c r="T230" s="93">
        <f t="shared" si="79"/>
        <v>0</v>
      </c>
      <c r="U230" s="93">
        <f t="shared" si="79"/>
        <v>0</v>
      </c>
      <c r="V230" s="93">
        <f t="shared" si="79"/>
        <v>0</v>
      </c>
      <c r="W230" s="93">
        <f t="shared" si="79"/>
        <v>0</v>
      </c>
      <c r="X230" s="93">
        <f t="shared" si="79"/>
        <v>0</v>
      </c>
      <c r="Y230" s="93">
        <f t="shared" si="79"/>
        <v>0</v>
      </c>
      <c r="Z230" s="93">
        <f t="shared" si="79"/>
        <v>0</v>
      </c>
      <c r="AA230" s="93">
        <f t="shared" si="79"/>
        <v>0</v>
      </c>
    </row>
    <row r="231" spans="1:27" s="67" customFormat="1" x14ac:dyDescent="0.35">
      <c r="A231" s="106"/>
      <c r="B231" s="106"/>
      <c r="C231" s="76" t="s">
        <v>52</v>
      </c>
      <c r="D231" s="95">
        <v>3000</v>
      </c>
      <c r="E231" s="93" t="s">
        <v>44</v>
      </c>
      <c r="F231" s="93"/>
      <c r="G231" s="93">
        <f>SUM(D301:AA301)</f>
        <v>2999.9999809999999</v>
      </c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  <c r="AA231" s="95"/>
    </row>
    <row r="232" spans="1:27" s="67" customFormat="1" x14ac:dyDescent="0.35">
      <c r="A232" s="106"/>
      <c r="B232" s="106"/>
      <c r="C232" s="76" t="s">
        <v>48</v>
      </c>
      <c r="D232" s="93">
        <f ca="1">SUM($D215:D215)+SUM($D224:D224)-SUM($D233:D233)+'Stations Data'!$J36-SUM(Demand!$B45:B45)-SUM(Demand!$B47:B47)</f>
        <v>3881.2679499999995</v>
      </c>
      <c r="E232" s="93">
        <f ca="1">SUM($D215:E215)+SUM($D224:E224)-SUM($D233:E233)+'Stations Data'!$J36-SUM(Demand!$B45:C45)-SUM(Demand!$B47:C47)</f>
        <v>3672.0358999999999</v>
      </c>
      <c r="F232" s="93">
        <f ca="1">SUM($D215:F215)+SUM($D224:F224)-SUM($D233:F233)+'Stations Data'!$J36-SUM(Demand!$B45:D45)-SUM(Demand!$B47:D47)</f>
        <v>3462.8038499999993</v>
      </c>
      <c r="G232" s="93">
        <f ca="1">SUM($D215:G215)+SUM($D224:G224)-SUM($D233:G233)+'Stations Data'!$J36-SUM(Demand!$B45:E45)-SUM(Demand!$B47:E47)</f>
        <v>3253.5718000000002</v>
      </c>
      <c r="H232" s="93">
        <f ca="1">SUM($D215:H215)+SUM($D224:H224)-SUM($D233:H233)+'Stations Data'!$J36-SUM(Demand!$B45:F45)-SUM(Demand!$B47:F47)</f>
        <v>3044.3397500000005</v>
      </c>
      <c r="I232" s="93">
        <f ca="1">SUM($D215:I215)+SUM($D224:I224)-SUM($D233:I233)+'Stations Data'!$J36-SUM(Demand!$B45:G45)-SUM(Demand!$B47:G47)</f>
        <v>3400.8111000000013</v>
      </c>
      <c r="J232" s="93">
        <f ca="1">SUM($D215:J215)+SUM($D224:J224)-SUM($D233:J233)+'Stations Data'!$J36-SUM(Demand!$B45:H45)-SUM(Demand!$B47:H47)</f>
        <v>3757.2824500000011</v>
      </c>
      <c r="K232" s="93">
        <f ca="1">SUM($D215:K215)+SUM($D224:K224)-SUM($D233:K233)+'Stations Data'!$J36-SUM(Demand!$B45:I45)-SUM(Demand!$B47:I47)</f>
        <v>4222.944300000001</v>
      </c>
      <c r="L232" s="93">
        <f ca="1">SUM($D215:L215)+SUM($D224:L224)-SUM($D233:L233)+'Stations Data'!$J36-SUM(Demand!$B45:J45)-SUM(Demand!$B47:J47)</f>
        <v>4688.6061500000005</v>
      </c>
      <c r="M232" s="93">
        <f ca="1">SUM($D215:M215)+SUM($D224:M224)-SUM($D233:M233)+'Stations Data'!$J36-SUM(Demand!$B45:K45)-SUM(Demand!$B47:K47)</f>
        <v>5154.268</v>
      </c>
      <c r="N232" s="93">
        <f ca="1">SUM($D215:N215)+SUM($D224:N224)-SUM($D233:N233)+'Stations Data'!$J36-SUM(Demand!$B45:L45)-SUM(Demand!$B47:L47)</f>
        <v>6106.9431499999982</v>
      </c>
      <c r="O232" s="93">
        <f ca="1">SUM($D215:O215)+SUM($D224:O224)-SUM($D233:O233)+'Stations Data'!$J36-SUM(Demand!$B45:M45)-SUM(Demand!$B47:M47)</f>
        <v>5963.4144999999971</v>
      </c>
      <c r="P232" s="93">
        <f ca="1">SUM($D215:P215)+SUM($D224:P224)-SUM($D233:P233)+'Stations Data'!$J36-SUM(Demand!$B45:N45)-SUM(Demand!$B47:N47)</f>
        <v>5819.8858499999969</v>
      </c>
      <c r="Q232" s="93">
        <f ca="1">SUM($D215:Q215)+SUM($D224:Q224)-SUM($D233:Q233)+'Stations Data'!$J36-SUM(Demand!$B45:O45)-SUM(Demand!$B47:O47)</f>
        <v>5676.3571999999995</v>
      </c>
      <c r="R232" s="93">
        <f ca="1">SUM($D215:R215)+SUM($D224:R224)-SUM($D233:R233)+'Stations Data'!$J36-SUM(Demand!$B45:P45)-SUM(Demand!$B47:P47)</f>
        <v>5532.8285499999984</v>
      </c>
      <c r="S232" s="93">
        <f ca="1">SUM($D215:S215)+SUM($D224:S224)-SUM($D233:S233)+'Stations Data'!$J36-SUM(Demand!$B45:Q45)-SUM(Demand!$B47:Q47)</f>
        <v>5389.2999000000018</v>
      </c>
      <c r="T232" s="93">
        <f ca="1">SUM($D215:T215)+SUM($D224:T224)-SUM($D233:T233)+'Stations Data'!$J36-SUM(Demand!$B45:R45)-SUM(Demand!$B47:R47)</f>
        <v>5195.5807500000001</v>
      </c>
      <c r="U232" s="93">
        <f ca="1">SUM($D215:U215)+SUM($D224:U224)-SUM($D233:U233)+'Stations Data'!$J36-SUM(Demand!$B45:S45)-SUM(Demand!$B47:S47)</f>
        <v>5001.8615999999984</v>
      </c>
      <c r="V232" s="93">
        <f ca="1">SUM($D215:V215)+SUM($D224:V224)-SUM($D233:V233)+'Stations Data'!$J36-SUM(Demand!$B45:T45)-SUM(Demand!$B47:T47)</f>
        <v>4808.1424500000039</v>
      </c>
      <c r="W232" s="93">
        <f ca="1">SUM($D215:W215)+SUM($D224:W224)-SUM($D233:W233)+'Stations Data'!$J36-SUM(Demand!$B45:U45)-SUM(Demand!$B47:U47)</f>
        <v>4664.6138000000064</v>
      </c>
      <c r="X232" s="93">
        <f ca="1">SUM($D215:X215)+SUM($D224:X224)-SUM($D233:X233)+'Stations Data'!$J36-SUM(Demand!$B45:V45)-SUM(Demand!$B47:V47)</f>
        <v>4521.0851500000099</v>
      </c>
      <c r="Y232" s="93">
        <f ca="1">SUM($D215:Y215)+SUM($D224:Y224)-SUM($D233:Y233)+'Stations Data'!$J36-SUM(Demand!$B45:W45)-SUM(Demand!$B47:W47)</f>
        <v>4377.5565000000124</v>
      </c>
      <c r="Z232" s="93">
        <f ca="1">SUM($D215:Z215)+SUM($D224:Z224)-SUM($D233:Z233)+'Stations Data'!$J36-SUM(Demand!$B45:X45)-SUM(Demand!$B47:X47)</f>
        <v>4234.027850000015</v>
      </c>
      <c r="AA232" s="93">
        <f ca="1">SUM($D215:AA215)+SUM($D224:AA224)-SUM($D233:AA233)+'Stations Data'!$J36-SUM(Demand!$B45:Y45)-SUM(Demand!$B47:Y47)</f>
        <v>4090.4992000000179</v>
      </c>
    </row>
    <row r="233" spans="1:27" s="67" customFormat="1" x14ac:dyDescent="0.35">
      <c r="A233" s="106"/>
      <c r="B233" s="106"/>
      <c r="C233" s="84" t="s">
        <v>85</v>
      </c>
      <c r="D233" s="95">
        <f>D302</f>
        <v>1650.5257999999999</v>
      </c>
      <c r="E233" s="93">
        <f t="shared" ref="E233:AA233" si="80">E302</f>
        <v>1650.5257999999999</v>
      </c>
      <c r="F233" s="93">
        <f t="shared" si="80"/>
        <v>1650.5257999999999</v>
      </c>
      <c r="G233" s="93">
        <f t="shared" si="80"/>
        <v>1650.5257999999999</v>
      </c>
      <c r="H233" s="93">
        <f t="shared" si="80"/>
        <v>1650.5257999999999</v>
      </c>
      <c r="I233" s="93">
        <f t="shared" si="80"/>
        <v>3084.8224</v>
      </c>
      <c r="J233" s="93">
        <f t="shared" si="80"/>
        <v>3084.8224</v>
      </c>
      <c r="K233" s="93">
        <f t="shared" si="80"/>
        <v>3084.8224</v>
      </c>
      <c r="L233" s="93">
        <f t="shared" si="80"/>
        <v>3084.8224</v>
      </c>
      <c r="M233" s="93">
        <f t="shared" si="80"/>
        <v>3084.8224</v>
      </c>
      <c r="N233" s="93">
        <f t="shared" si="80"/>
        <v>2488.6185999999998</v>
      </c>
      <c r="O233" s="93">
        <f t="shared" si="80"/>
        <v>1584.8224</v>
      </c>
      <c r="P233" s="93">
        <f t="shared" si="80"/>
        <v>1584.8224</v>
      </c>
      <c r="Q233" s="93">
        <f t="shared" si="80"/>
        <v>1584.8224</v>
      </c>
      <c r="R233" s="93">
        <f t="shared" si="80"/>
        <v>1584.8224</v>
      </c>
      <c r="S233" s="93">
        <f t="shared" si="80"/>
        <v>1584.8224</v>
      </c>
      <c r="T233" s="93">
        <f t="shared" si="80"/>
        <v>1584.8224</v>
      </c>
      <c r="U233" s="93">
        <f t="shared" si="80"/>
        <v>1584.8224</v>
      </c>
      <c r="V233" s="93">
        <f t="shared" si="80"/>
        <v>1584.8224</v>
      </c>
      <c r="W233" s="93">
        <f t="shared" si="80"/>
        <v>1584.8224</v>
      </c>
      <c r="X233" s="93">
        <f t="shared" si="80"/>
        <v>1584.8224</v>
      </c>
      <c r="Y233" s="93">
        <f t="shared" si="80"/>
        <v>1584.8224</v>
      </c>
      <c r="Z233" s="93">
        <f t="shared" si="80"/>
        <v>1584.8224</v>
      </c>
      <c r="AA233" s="93">
        <f t="shared" si="80"/>
        <v>1584.8224</v>
      </c>
    </row>
    <row r="234" spans="1:27" s="67" customFormat="1" x14ac:dyDescent="0.35">
      <c r="A234" s="106"/>
      <c r="B234" s="106"/>
      <c r="C234" s="88" t="s">
        <v>86</v>
      </c>
      <c r="D234" s="95">
        <f>SUM(D233:AA233)/4545</f>
        <v>10.290000176017598</v>
      </c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95"/>
      <c r="Q234" s="96"/>
      <c r="R234" s="93"/>
      <c r="S234" s="96" t="s">
        <v>87</v>
      </c>
      <c r="T234" s="93"/>
      <c r="U234" s="93">
        <f ca="1">AA232-'Stations Data'!L36</f>
        <v>-7.9999998160928953E-4</v>
      </c>
      <c r="V234" s="95"/>
      <c r="W234" s="95"/>
      <c r="X234" s="95"/>
      <c r="Y234" s="95"/>
      <c r="Z234" s="95"/>
      <c r="AA234" s="95"/>
    </row>
    <row r="235" spans="1:27" s="67" customFormat="1" x14ac:dyDescent="0.35">
      <c r="A235" s="106" t="s">
        <v>154</v>
      </c>
      <c r="B235" s="106" t="s">
        <v>109</v>
      </c>
      <c r="C235" s="76" t="s">
        <v>88</v>
      </c>
      <c r="D235" s="101">
        <f>'Stations Data'!$B38*D2</f>
        <v>6.6528000000000004E-3</v>
      </c>
      <c r="E235" s="101">
        <f>'Stations Data'!$B38*E2</f>
        <v>4.7289599999999999E-3</v>
      </c>
      <c r="F235" s="101">
        <f>'Stations Data'!$B38*F2</f>
        <v>4.7289599999999999E-3</v>
      </c>
      <c r="G235" s="101">
        <f>'Stations Data'!$B38*G2</f>
        <v>4.7289599999999999E-3</v>
      </c>
      <c r="H235" s="101">
        <f>'Stations Data'!$B38*H2</f>
        <v>3.6576E-3</v>
      </c>
      <c r="I235" s="101">
        <f>'Stations Data'!$B38*I2</f>
        <v>3.6576E-3</v>
      </c>
      <c r="J235" s="101">
        <f>'Stations Data'!$B38*J2</f>
        <v>3.6576E-3</v>
      </c>
      <c r="K235" s="101">
        <f>'Stations Data'!$B38*K2</f>
        <v>3.5481599999999999E-3</v>
      </c>
      <c r="L235" s="101">
        <f>'Stations Data'!$B38*L2</f>
        <v>3.5481599999999999E-3</v>
      </c>
      <c r="M235" s="101">
        <f>'Stations Data'!$B38*M2</f>
        <v>3.5481599999999999E-3</v>
      </c>
      <c r="N235" s="101">
        <f>'Stations Data'!$B38*N2</f>
        <v>5.0918399999999994E-3</v>
      </c>
      <c r="O235" s="101">
        <f>'Stations Data'!$B38*O2</f>
        <v>5.0918399999999994E-3</v>
      </c>
      <c r="P235" s="101">
        <f>'Stations Data'!$B38*P2</f>
        <v>5.0918399999999994E-3</v>
      </c>
      <c r="Q235" s="101">
        <f>'Stations Data'!$B38*Q2</f>
        <v>7.0444800000000005E-3</v>
      </c>
      <c r="R235" s="101">
        <f>'Stations Data'!$B38*R2</f>
        <v>7.0444800000000005E-3</v>
      </c>
      <c r="S235" s="101">
        <f>'Stations Data'!$B38*S2</f>
        <v>7.0444800000000005E-3</v>
      </c>
      <c r="T235" s="101">
        <f>'Stations Data'!$B38*T2</f>
        <v>7.8883200000000007E-3</v>
      </c>
      <c r="U235" s="101">
        <f>'Stations Data'!$B38*U2</f>
        <v>7.8883200000000007E-3</v>
      </c>
      <c r="V235" s="101">
        <f>'Stations Data'!$B38*V2</f>
        <v>7.8883200000000007E-3</v>
      </c>
      <c r="W235" s="101">
        <f>'Stations Data'!$B38*W2</f>
        <v>7.6896000000000004E-3</v>
      </c>
      <c r="X235" s="101">
        <f>'Stations Data'!$B38*X2</f>
        <v>7.6896000000000004E-3</v>
      </c>
      <c r="Y235" s="101">
        <f>'Stations Data'!$B38*Y2</f>
        <v>7.6896000000000004E-3</v>
      </c>
      <c r="Z235" s="101">
        <f>'Stations Data'!$B38*Z2</f>
        <v>6.6528000000000004E-3</v>
      </c>
      <c r="AA235" s="101">
        <f>'Stations Data'!$B38*AA2</f>
        <v>6.6528000000000004E-3</v>
      </c>
    </row>
    <row r="236" spans="1:27" s="67" customFormat="1" x14ac:dyDescent="0.35">
      <c r="A236" s="106"/>
      <c r="B236" s="106"/>
      <c r="C236" s="76" t="s">
        <v>45</v>
      </c>
      <c r="D236" s="95">
        <f>SUM($D233:D233)-SUM($D241:D241)-SUM($D245:D245)-SUM($D249:D249)</f>
        <v>646.24743599999999</v>
      </c>
      <c r="E236" s="95">
        <f>SUM($D233:E233)-SUM($D241:E241)-SUM($D245:E245)-SUM($D249:E249)</f>
        <v>1508.6725759999999</v>
      </c>
      <c r="F236" s="95">
        <f>SUM($D233:F233)-SUM($D241:F241)-SUM($D245:F245)-SUM($D249:F249)</f>
        <v>2550.8813360000004</v>
      </c>
      <c r="G236" s="95">
        <f>SUM($D233:G233)-SUM($D241:G241)-SUM($D245:G245)-SUM($D249:G249)</f>
        <v>3573.1090820000004</v>
      </c>
      <c r="H236" s="95">
        <f>SUM($D233:H233)-SUM($D241:H241)-SUM($D245:H245)-SUM($D249:H249)</f>
        <v>4168.6826619999993</v>
      </c>
      <c r="I236" s="95">
        <f>SUM($D233:I233)-SUM($D241:I241)-SUM($D245:I245)-SUM($D249:I249)</f>
        <v>5700.5812819999974</v>
      </c>
      <c r="J236" s="95">
        <f>SUM($D233:J233)-SUM($D241:J241)-SUM($D245:J245)-SUM($D249:J249)</f>
        <v>6885.0178219999989</v>
      </c>
      <c r="K236" s="95">
        <f>SUM($D233:K233)-SUM($D241:K241)-SUM($D245:K245)-SUM($D249:K249)</f>
        <v>7887.4545120000002</v>
      </c>
      <c r="L236" s="95">
        <f>SUM($D233:L233)-SUM($D241:L241)-SUM($D245:L245)-SUM($D249:L249)</f>
        <v>8868.698042</v>
      </c>
      <c r="M236" s="95">
        <f>SUM($D233:M233)-SUM($D241:M241)-SUM($D245:M245)-SUM($D249:M249)</f>
        <v>9967.2685620000011</v>
      </c>
      <c r="N236" s="95">
        <f>SUM($D233:N233)-SUM($D241:N241)-SUM($D245:N245)-SUM($D249:N249)</f>
        <v>10374.239072000004</v>
      </c>
      <c r="O236" s="95">
        <f>SUM($D233:O233)-SUM($D241:O241)-SUM($D245:O245)-SUM($D249:O249)</f>
        <v>9973.7339520000041</v>
      </c>
      <c r="P236" s="95">
        <f>SUM($D233:P233)-SUM($D241:P241)-SUM($D245:P245)-SUM($D249:P249)</f>
        <v>9643.6144220000078</v>
      </c>
      <c r="Q236" s="95">
        <f>SUM($D233:Q233)-SUM($D241:Q241)-SUM($D245:Q245)-SUM($D249:Q249)</f>
        <v>9257.3825820000056</v>
      </c>
      <c r="R236" s="95">
        <f>SUM($D233:R233)-SUM($D241:R241)-SUM($D245:R245)-SUM($D249:R249)</f>
        <v>8900.1067720000065</v>
      </c>
      <c r="S236" s="95">
        <f>SUM($D233:S233)-SUM($D241:S241)-SUM($D245:S245)-SUM($D249:S249)</f>
        <v>8635.6901520000047</v>
      </c>
      <c r="T236" s="95">
        <f>SUM($D233:T233)-SUM($D241:T241)-SUM($D245:T245)-SUM($D249:T249)</f>
        <v>8334.7067520000037</v>
      </c>
      <c r="U236" s="95">
        <f>SUM($D233:U233)-SUM($D241:U241)-SUM($D245:U245)-SUM($D249:U249)</f>
        <v>8055.1011920000019</v>
      </c>
      <c r="V236" s="95">
        <f>SUM($D233:V233)-SUM($D241:V241)-SUM($D245:V245)-SUM($D249:V249)</f>
        <v>7768.2327119999991</v>
      </c>
      <c r="W236" s="95">
        <f>SUM($D233:W233)-SUM($D241:W241)-SUM($D245:W245)-SUM($D249:W249)</f>
        <v>7674.5842019999973</v>
      </c>
      <c r="X236" s="95">
        <f>SUM($D233:X233)-SUM($D241:X241)-SUM($D245:X245)-SUM($D249:X249)</f>
        <v>7575.2453219999952</v>
      </c>
      <c r="Y236" s="95">
        <f>SUM($D233:Y233)-SUM($D241:Y241)-SUM($D245:Y245)-SUM($D249:Y249)</f>
        <v>7653.6772019999926</v>
      </c>
      <c r="Z236" s="95">
        <f>SUM($D233:Z233)-SUM($D241:Z241)-SUM($D245:Z245)-SUM($D249:Z249)</f>
        <v>7827.1159869999883</v>
      </c>
      <c r="AA236" s="95">
        <f>SUM($D233:AA233)-SUM($D241:AA241)-SUM($D245:AA245)-SUM($D249:AA249)</f>
        <v>8044.6506339999851</v>
      </c>
    </row>
    <row r="237" spans="1:27" s="67" customFormat="1" x14ac:dyDescent="0.35">
      <c r="A237" s="106"/>
      <c r="B237" s="106"/>
      <c r="C237" s="76" t="s">
        <v>46</v>
      </c>
      <c r="D237" s="95">
        <f>'Stations Data'!$H38-'Stations Data'!$J38+SUM(Demand!$B49:B49)</f>
        <v>-4285.6560446373214</v>
      </c>
      <c r="E237" s="95">
        <f>'Stations Data'!$H38-'Stations Data'!$J38+SUM(Demand!$B49:C49)</f>
        <v>-4038.2818102913825</v>
      </c>
      <c r="F237" s="95">
        <f>'Stations Data'!$H38-'Stations Data'!$J38+SUM(Demand!$B49:D49)</f>
        <v>-3797.8899132052074</v>
      </c>
      <c r="G237" s="95">
        <f>'Stations Data'!$H38-'Stations Data'!$J38+SUM(Demand!$B49:E49)</f>
        <v>-3550.5156788592685</v>
      </c>
      <c r="H237" s="95">
        <f>'Stations Data'!$H38-'Stations Data'!$J38+SUM(Demand!$B49:F49)</f>
        <v>-3306.1338747675136</v>
      </c>
      <c r="I237" s="95">
        <f>'Stations Data'!$H38-'Stations Data'!$J38+SUM(Demand!$B49:G49)</f>
        <v>-2998.9110353378796</v>
      </c>
      <c r="J237" s="95">
        <f>'Stations Data'!$H38-'Stations Data'!$J38+SUM(Demand!$B49:H49)</f>
        <v>-2568.9985554866707</v>
      </c>
      <c r="K237" s="95">
        <f>'Stations Data'!$H38-'Stations Data'!$J38+SUM(Demand!$B49:I49)</f>
        <v>-2130.1087848729076</v>
      </c>
      <c r="L237" s="95">
        <f>'Stations Data'!$H38-'Stations Data'!$J38+SUM(Demand!$B49:J49)</f>
        <v>-1682.2417234965901</v>
      </c>
      <c r="M237" s="95">
        <f>'Stations Data'!$H38-'Stations Data'!$J38+SUM(Demand!$B49:K49)</f>
        <v>-1299.2106509609421</v>
      </c>
      <c r="N237" s="95">
        <f>'Stations Data'!$H38-'Stations Data'!$J38+SUM(Demand!$B49:L49)</f>
        <v>-892.24013639181612</v>
      </c>
      <c r="O237" s="95">
        <f>'Stations Data'!$H38-'Stations Data'!$J38+SUM(Demand!$B49:M49)</f>
        <v>-545.11822690638519</v>
      </c>
      <c r="P237" s="95">
        <f>'Stations Data'!$H38-'Stations Data'!$J38+SUM(Demand!$B49:N49)</f>
        <v>-183.03416615003061</v>
      </c>
      <c r="Q237" s="95">
        <f>'Stations Data'!$H38-'Stations Data'!$J38+SUM(Demand!$B49:O49)</f>
        <v>183.03980161190339</v>
      </c>
      <c r="R237" s="95">
        <f>'Stations Data'!$H38-'Stations Data'!$J38+SUM(Demand!$B49:P49)</f>
        <v>552.1061996280223</v>
      </c>
      <c r="S237" s="95">
        <f>'Stations Data'!$H38-'Stations Data'!$J38+SUM(Demand!$B49:Q49)</f>
        <v>919.17764414135127</v>
      </c>
      <c r="T237" s="95">
        <f>'Stations Data'!$H38-'Stations Data'!$J38+SUM(Demand!$B49:R49)</f>
        <v>1259.3172163670179</v>
      </c>
      <c r="U237" s="95">
        <f>'Stations Data'!$H38-'Stations Data'!$J38+SUM(Demand!$B49:S49)</f>
        <v>1624.3937073775569</v>
      </c>
      <c r="V237" s="95">
        <f>'Stations Data'!$H38-'Stations Data'!$J38+SUM(Demand!$B49:T49)</f>
        <v>2003.4348729076255</v>
      </c>
      <c r="W237" s="95">
        <f>'Stations Data'!$H38-'Stations Data'!$J38+SUM(Demand!$B49:U49)</f>
        <v>2338.5870613763173</v>
      </c>
      <c r="X237" s="95">
        <f>'Stations Data'!$H38-'Stations Data'!$J38+SUM(Demand!$B49:V49)</f>
        <v>2684.7114941103537</v>
      </c>
      <c r="Y237" s="95">
        <f>'Stations Data'!$H38-'Stations Data'!$J38+SUM(Demand!$B49:W49)</f>
        <v>2978.9671357718544</v>
      </c>
      <c r="Z237" s="95">
        <f>'Stations Data'!$H38-'Stations Data'!$J38+SUM(Demand!$B49:X49)</f>
        <v>3242.3009981401119</v>
      </c>
      <c r="AA237" s="98">
        <f>'Stations Data'!$L38-'Stations Data'!$J38+SUM(Demand!$B49:Y49)</f>
        <v>8044.6500000000005</v>
      </c>
    </row>
    <row r="238" spans="1:27" s="67" customFormat="1" x14ac:dyDescent="0.35">
      <c r="A238" s="106"/>
      <c r="B238" s="106"/>
      <c r="C238" s="79" t="s">
        <v>47</v>
      </c>
      <c r="D238" s="95">
        <f>'Stations Data'!$N38-'Stations Data'!$J38+SUM(Demand!$B49:B49)</f>
        <v>6980.8228286021158</v>
      </c>
      <c r="E238" s="95">
        <f>'Stations Data'!$N38-'Stations Data'!$J38+SUM(Demand!$B49:C49)</f>
        <v>7228.1970629480547</v>
      </c>
      <c r="F238" s="95">
        <f>'Stations Data'!$N38-'Stations Data'!$J38+SUM(Demand!$B49:D49)</f>
        <v>7468.5889600342298</v>
      </c>
      <c r="G238" s="95">
        <f>'Stations Data'!$N38-'Stations Data'!$J38+SUM(Demand!$B49:E49)</f>
        <v>7715.9631943801687</v>
      </c>
      <c r="H238" s="95">
        <f>'Stations Data'!$N38-'Stations Data'!$J38+SUM(Demand!$B49:F49)</f>
        <v>7960.3449984719236</v>
      </c>
      <c r="I238" s="95">
        <f>'Stations Data'!$N38-'Stations Data'!$J38+SUM(Demand!$B49:G49)</f>
        <v>8267.5678379015571</v>
      </c>
      <c r="J238" s="95">
        <f>'Stations Data'!$N38-'Stations Data'!$J38+SUM(Demand!$B49:H49)</f>
        <v>8697.4803177527665</v>
      </c>
      <c r="K238" s="95">
        <f>'Stations Data'!$N38-'Stations Data'!$J38+SUM(Demand!$B49:I49)</f>
        <v>9136.3700883665297</v>
      </c>
      <c r="L238" s="95">
        <f>'Stations Data'!$N38-'Stations Data'!$J38+SUM(Demand!$B49:J49)</f>
        <v>9584.2371497428467</v>
      </c>
      <c r="M238" s="95">
        <f>'Stations Data'!$N38-'Stations Data'!$J38+SUM(Demand!$B49:K49)</f>
        <v>9967.2682222784952</v>
      </c>
      <c r="N238" s="95">
        <f>'Stations Data'!$N38-'Stations Data'!$J38+SUM(Demand!$B49:L49)</f>
        <v>10374.238736847621</v>
      </c>
      <c r="O238" s="95">
        <f>'Stations Data'!$N38-'Stations Data'!$J38+SUM(Demand!$B49:M49)</f>
        <v>10721.360646333053</v>
      </c>
      <c r="P238" s="95">
        <f>'Stations Data'!$N38-'Stations Data'!$J38+SUM(Demand!$B49:N49)</f>
        <v>11083.444707089406</v>
      </c>
      <c r="Q238" s="95">
        <f>'Stations Data'!$N38-'Stations Data'!$J38+SUM(Demand!$B49:O49)</f>
        <v>11449.518674851341</v>
      </c>
      <c r="R238" s="95">
        <f>'Stations Data'!$N38-'Stations Data'!$J38+SUM(Demand!$B49:P49)</f>
        <v>11818.58507286746</v>
      </c>
      <c r="S238" s="95">
        <f>'Stations Data'!$N38-'Stations Data'!$J38+SUM(Demand!$B49:Q49)</f>
        <v>12185.656517380789</v>
      </c>
      <c r="T238" s="95">
        <f>'Stations Data'!$N38-'Stations Data'!$J38+SUM(Demand!$B49:R49)</f>
        <v>12525.796089606454</v>
      </c>
      <c r="U238" s="95">
        <f>'Stations Data'!$N38-'Stations Data'!$J38+SUM(Demand!$B49:S49)</f>
        <v>12890.872580616993</v>
      </c>
      <c r="V238" s="95">
        <f>'Stations Data'!$N38-'Stations Data'!$J38+SUM(Demand!$B49:T49)</f>
        <v>13269.913746147064</v>
      </c>
      <c r="W238" s="95">
        <f>'Stations Data'!$N38-'Stations Data'!$J38+SUM(Demand!$B49:U49)</f>
        <v>13605.065934615755</v>
      </c>
      <c r="X238" s="95">
        <f>'Stations Data'!$N38-'Stations Data'!$J38+SUM(Demand!$B49:V49)</f>
        <v>13951.190367349791</v>
      </c>
      <c r="Y238" s="95">
        <f>'Stations Data'!$N38-'Stations Data'!$J38+SUM(Demand!$B49:W49)</f>
        <v>14245.446009011292</v>
      </c>
      <c r="Z238" s="95">
        <f>'Stations Data'!$N38-'Stations Data'!$J38+SUM(Demand!$B49:X49)</f>
        <v>14508.779871379549</v>
      </c>
      <c r="AA238" s="95">
        <f>'Stations Data'!$N38-'Stations Data'!$J38+SUM(Demand!$B49:Y49)</f>
        <v>14766.128873239439</v>
      </c>
    </row>
    <row r="239" spans="1:27" s="67" customFormat="1" x14ac:dyDescent="0.35">
      <c r="A239" s="106"/>
      <c r="B239" s="106"/>
      <c r="C239" s="79" t="s">
        <v>49</v>
      </c>
      <c r="D239" s="95">
        <f>Demand!B53</f>
        <v>690.03270179234539</v>
      </c>
      <c r="E239" s="95">
        <f>Demand!C53</f>
        <v>602.98897752118069</v>
      </c>
      <c r="F239" s="95">
        <f>Demand!D53</f>
        <v>491.2464090041388</v>
      </c>
      <c r="G239" s="95">
        <f>Demand!E53</f>
        <v>531.23949874924301</v>
      </c>
      <c r="H239" s="95">
        <f>Demand!F53</f>
        <v>735.75965892716192</v>
      </c>
      <c r="I239" s="95">
        <f>Demand!G53</f>
        <v>819.9674690886211</v>
      </c>
      <c r="J239" s="95">
        <f>Demand!H53</f>
        <v>927.50893522737715</v>
      </c>
      <c r="K239" s="95">
        <f>Demand!I53</f>
        <v>1038.4518940812482</v>
      </c>
      <c r="L239" s="95">
        <f>Demand!J53</f>
        <v>1063.6427501177743</v>
      </c>
      <c r="M239" s="95">
        <f>Demand!K53</f>
        <v>1056.887309122634</v>
      </c>
      <c r="N239" s="95">
        <f>Demand!L53</f>
        <v>1053.7332632584009</v>
      </c>
      <c r="O239" s="95">
        <f>Demand!M53</f>
        <v>1047.8599142100588</v>
      </c>
      <c r="P239" s="95">
        <f>Demand!N53</f>
        <v>1041.8216005944623</v>
      </c>
      <c r="Q239" s="95">
        <f>Demand!O53</f>
        <v>1016.5482622743086</v>
      </c>
      <c r="R239" s="95">
        <f>Demand!P53</f>
        <v>989.35496069769385</v>
      </c>
      <c r="S239" s="95">
        <f>Demand!Q53</f>
        <v>1006.9970693691841</v>
      </c>
      <c r="T239" s="95">
        <f>Demand!R53</f>
        <v>1031.6454872688576</v>
      </c>
      <c r="U239" s="95">
        <f>Demand!S53</f>
        <v>1013.2226788140227</v>
      </c>
      <c r="V239" s="95">
        <f>Demand!T53</f>
        <v>981.0318168425888</v>
      </c>
      <c r="W239" s="95">
        <f>Demand!U53</f>
        <v>949.43751047189528</v>
      </c>
      <c r="X239" s="95">
        <f>Demand!V53</f>
        <v>892.10387637007022</v>
      </c>
      <c r="Y239" s="95">
        <f>Demand!W53</f>
        <v>841.62023266251776</v>
      </c>
      <c r="Z239" s="95">
        <f>Demand!X53</f>
        <v>807.9541445257056</v>
      </c>
      <c r="AA239" s="95">
        <f>Demand!Y53</f>
        <v>775.8935790085111</v>
      </c>
    </row>
    <row r="240" spans="1:27" s="67" customFormat="1" x14ac:dyDescent="0.35">
      <c r="A240" s="106"/>
      <c r="B240" s="106"/>
      <c r="C240" s="79" t="s">
        <v>92</v>
      </c>
      <c r="D240" s="93">
        <f>SUM($D233:D233)-SUM($D241:D241)-SUM($D245:D245)-SUM($D249:D249)+'Stations Data'!$J38-SUM(Demand!$B49:B49)</f>
        <v>14021.903480637322</v>
      </c>
      <c r="E240" s="93">
        <f>SUM($D233:E233)-SUM($D241:E241)-SUM($D245:E245)-SUM($D249:E249)+'Stations Data'!$J38-SUM(Demand!$B49:C49)</f>
        <v>14636.954386291383</v>
      </c>
      <c r="F240" s="93">
        <f>SUM($D233:F233)-SUM($D241:F241)-SUM($D245:F245)-SUM($D249:F249)+'Stations Data'!$J38-SUM(Demand!$B49:D49)</f>
        <v>15438.771249205209</v>
      </c>
      <c r="G240" s="93">
        <f>SUM($D233:G233)-SUM($D241:G241)-SUM($D245:G245)-SUM($D249:G249)+'Stations Data'!$J38-SUM(Demand!$B49:E49)</f>
        <v>16213.624760859268</v>
      </c>
      <c r="H240" s="93">
        <f>SUM($D233:H233)-SUM($D241:H241)-SUM($D245:H245)-SUM($D249:H249)+'Stations Data'!$J38-SUM(Demand!$B49:F49)</f>
        <v>16564.816536767514</v>
      </c>
      <c r="I240" s="93">
        <f>SUM($D233:I233)-SUM($D241:I241)-SUM($D245:I245)-SUM($D249:I249)+'Stations Data'!$J38-SUM(Demand!$B49:G49)</f>
        <v>17789.492317337877</v>
      </c>
      <c r="J240" s="93">
        <f>SUM($D233:J233)-SUM($D241:J241)-SUM($D245:J245)-SUM($D249:J249)+'Stations Data'!$J38-SUM(Demand!$B49:H49)</f>
        <v>18544.016377486667</v>
      </c>
      <c r="K240" s="93">
        <f>SUM($D233:K233)-SUM($D241:K241)-SUM($D245:K245)-SUM($D249:K249)+'Stations Data'!$J38-SUM(Demand!$B49:I49)</f>
        <v>19107.563296872908</v>
      </c>
      <c r="L240" s="93">
        <f>SUM($D233:L233)-SUM($D241:L241)-SUM($D245:L245)-SUM($D249:L249)+'Stations Data'!$J38-SUM(Demand!$B49:J49)</f>
        <v>19640.939765496591</v>
      </c>
      <c r="M240" s="93">
        <f>SUM($D233:M233)-SUM($D241:M241)-SUM($D245:M245)-SUM($D249:M249)+'Stations Data'!$J38-SUM(Demand!$B49:K49)</f>
        <v>20356.479212960941</v>
      </c>
      <c r="N240" s="93">
        <f>SUM($D233:N233)-SUM($D241:N241)-SUM($D245:N245)-SUM($D249:N249)+'Stations Data'!$J38-SUM(Demand!$B49:L49)</f>
        <v>20356.479208391822</v>
      </c>
      <c r="O240" s="93">
        <f>SUM($D233:O233)-SUM($D241:O241)-SUM($D245:O245)-SUM($D249:O249)+'Stations Data'!$J38-SUM(Demand!$B49:M49)</f>
        <v>19608.852178906389</v>
      </c>
      <c r="P240" s="93">
        <f>SUM($D233:P233)-SUM($D241:P241)-SUM($D245:P245)-SUM($D249:P249)+'Stations Data'!$J38-SUM(Demand!$B49:N49)</f>
        <v>18916.648588150038</v>
      </c>
      <c r="Q240" s="93">
        <f>SUM($D233:Q233)-SUM($D241:Q241)-SUM($D245:Q245)-SUM($D249:Q249)+'Stations Data'!$J38-SUM(Demand!$B49:O49)</f>
        <v>18164.342780388102</v>
      </c>
      <c r="R240" s="93">
        <f>SUM($D233:R233)-SUM($D241:R241)-SUM($D245:R245)-SUM($D249:R249)+'Stations Data'!$J38-SUM(Demand!$B49:P49)</f>
        <v>17438.000572371984</v>
      </c>
      <c r="S240" s="93">
        <f>SUM($D233:S233)-SUM($D241:S241)-SUM($D245:S245)-SUM($D249:S249)+'Stations Data'!$J38-SUM(Demand!$B49:Q49)</f>
        <v>16806.51250785865</v>
      </c>
      <c r="T240" s="93">
        <f>SUM($D233:T233)-SUM($D241:T241)-SUM($D245:T245)-SUM($D249:T249)+'Stations Data'!$J38-SUM(Demand!$B49:R49)</f>
        <v>16165.389535632989</v>
      </c>
      <c r="U240" s="93">
        <f>SUM($D233:U233)-SUM($D241:U241)-SUM($D245:U245)-SUM($D249:U249)+'Stations Data'!$J38-SUM(Demand!$B49:S49)</f>
        <v>15520.707484622446</v>
      </c>
      <c r="V240" s="93">
        <f>SUM($D233:V233)-SUM($D241:V241)-SUM($D245:V245)-SUM($D249:V249)+'Stations Data'!$J38-SUM(Demand!$B49:T49)</f>
        <v>14854.797839092371</v>
      </c>
      <c r="W240" s="93">
        <f>SUM($D233:W233)-SUM($D241:W241)-SUM($D245:W245)-SUM($D249:W249)+'Stations Data'!$J38-SUM(Demand!$B49:U49)</f>
        <v>14425.99714062368</v>
      </c>
      <c r="X240" s="93">
        <f>SUM($D233:X233)-SUM($D241:X241)-SUM($D245:X245)-SUM($D249:X249)+'Stations Data'!$J38-SUM(Demand!$B49:V49)</f>
        <v>13980.533827889642</v>
      </c>
      <c r="Y240" s="93">
        <f>SUM($D233:Y233)-SUM($D241:Y241)-SUM($D245:Y245)-SUM($D249:Y249)+'Stations Data'!$J38-SUM(Demand!$B49:W49)</f>
        <v>13764.710066228137</v>
      </c>
      <c r="Z240" s="93">
        <f>SUM($D233:Z233)-SUM($D241:Z241)-SUM($D245:Z245)-SUM($D249:Z249)+'Stations Data'!$J38-SUM(Demand!$B49:X49)</f>
        <v>13674.814988859878</v>
      </c>
      <c r="AA240" s="93">
        <f>SUM($D233:AA233)-SUM($D241:AA241)-SUM($D245:AA245)-SUM($D249:AA249)+'Stations Data'!$J38-SUM(Demand!$B49:Y49)</f>
        <v>13635.000633999982</v>
      </c>
    </row>
    <row r="241" spans="1:27" s="67" customFormat="1" x14ac:dyDescent="0.35">
      <c r="A241" s="106"/>
      <c r="B241" s="106"/>
      <c r="C241" s="81" t="s">
        <v>93</v>
      </c>
      <c r="D241" s="95">
        <f>D303</f>
        <v>690.03269999999998</v>
      </c>
      <c r="E241" s="95">
        <f t="shared" ref="E241:AA241" si="81">E303</f>
        <v>602.98897999999997</v>
      </c>
      <c r="F241" s="95">
        <f t="shared" si="81"/>
        <v>491.24641000000003</v>
      </c>
      <c r="G241" s="95">
        <f t="shared" si="81"/>
        <v>531.23950000000002</v>
      </c>
      <c r="H241" s="95">
        <f t="shared" si="81"/>
        <v>735.75966000000005</v>
      </c>
      <c r="I241" s="95">
        <f t="shared" si="81"/>
        <v>819.96747000000005</v>
      </c>
      <c r="J241" s="95">
        <f t="shared" si="81"/>
        <v>927.50894000000005</v>
      </c>
      <c r="K241" s="95">
        <f t="shared" si="81"/>
        <v>1038.4519</v>
      </c>
      <c r="L241" s="95">
        <f t="shared" si="81"/>
        <v>1063.6428000000001</v>
      </c>
      <c r="M241" s="95">
        <f t="shared" si="81"/>
        <v>1056.8873000000001</v>
      </c>
      <c r="N241" s="95">
        <f t="shared" si="81"/>
        <v>1053.7333000000001</v>
      </c>
      <c r="O241" s="95">
        <f t="shared" si="81"/>
        <v>1047.8598999999999</v>
      </c>
      <c r="P241" s="95">
        <f t="shared" si="81"/>
        <v>1041.8216</v>
      </c>
      <c r="Q241" s="95">
        <f t="shared" si="81"/>
        <v>1016.5483</v>
      </c>
      <c r="R241" s="95">
        <f t="shared" si="81"/>
        <v>989.35496000000001</v>
      </c>
      <c r="S241" s="95">
        <f t="shared" si="81"/>
        <v>1006.9971</v>
      </c>
      <c r="T241" s="95">
        <f t="shared" si="81"/>
        <v>1031.6455000000001</v>
      </c>
      <c r="U241" s="95">
        <f t="shared" si="81"/>
        <v>1013.2227</v>
      </c>
      <c r="V241" s="95">
        <f t="shared" si="81"/>
        <v>981.03182000000004</v>
      </c>
      <c r="W241" s="95">
        <f t="shared" si="81"/>
        <v>949.43750999999997</v>
      </c>
      <c r="X241" s="95">
        <f t="shared" si="81"/>
        <v>892.10388</v>
      </c>
      <c r="Y241" s="95">
        <f t="shared" si="81"/>
        <v>841.62022999999999</v>
      </c>
      <c r="Z241" s="95">
        <f t="shared" si="81"/>
        <v>807.95414000000005</v>
      </c>
      <c r="AA241" s="95">
        <f t="shared" si="81"/>
        <v>775.89358000000004</v>
      </c>
    </row>
    <row r="242" spans="1:27" s="67" customFormat="1" x14ac:dyDescent="0.35">
      <c r="A242" s="106"/>
      <c r="B242" s="106"/>
      <c r="C242" s="79" t="s">
        <v>94</v>
      </c>
      <c r="D242" s="95">
        <f>SUM(D241:AA241)/4545</f>
        <v>4.7100000396039601</v>
      </c>
      <c r="E242" s="93" t="s">
        <v>5</v>
      </c>
      <c r="F242" s="93"/>
      <c r="G242" s="93"/>
      <c r="H242" s="95">
        <f>D242*4545*'Stations Data'!B38</f>
        <v>616.52016518400001</v>
      </c>
      <c r="I242" s="93" t="s">
        <v>77</v>
      </c>
      <c r="J242" s="93"/>
      <c r="K242" s="93"/>
      <c r="L242" s="95">
        <f>SUMPRODUCT(D235:AA235,D241:AA241)</f>
        <v>124.83752399890558</v>
      </c>
      <c r="M242" s="95" t="s">
        <v>71</v>
      </c>
      <c r="N242" s="95"/>
      <c r="O242" s="95">
        <f>(SUM(D242*4545/24*D235,D242*4545/24*E235,D242*4545/24*F235,D242*4545/24*G235,D242*4545/24*H235,D242*4545/24*I235,D242*4545/24*J235,D242*4545/24*K235,D242*4545/24*L235,D242*4545/24*M235,D242*4545/24*N235,D242*4545/24*O235,D242*4545/24*P235,D242*4545/24*Q235,D242*4545/24*R235,D242*4545/24*S235,D242*4545/24*T235,D242*4545/24*U235,D242*4545/24*V235,D242*4545/24*W235,D242*4545/24*X235,D242*4545/24*Y235,D242*4545/24*Z235,D242*4545/24*AA235)-SUMPRODUCT(D235:AA235,D241:AA241))</f>
        <v>-0.94009030311596575</v>
      </c>
      <c r="P242" s="93" t="s">
        <v>70</v>
      </c>
      <c r="Q242" s="95"/>
      <c r="R242" s="93">
        <f>((D242*4545/24)*4-SUM(Q241:T241))*'Stations Data'!B38</f>
        <v>-13.729559904000006</v>
      </c>
      <c r="S242" s="96" t="s">
        <v>87</v>
      </c>
      <c r="T242" s="93"/>
      <c r="U242" s="93">
        <f>AA240-'Stations Data'!L38</f>
        <v>6.3399998180102557E-4</v>
      </c>
      <c r="V242" s="95"/>
      <c r="W242" s="95"/>
      <c r="X242" s="95"/>
      <c r="Y242" s="95"/>
      <c r="Z242" s="95"/>
      <c r="AA242" s="95"/>
    </row>
    <row r="243" spans="1:27" s="67" customFormat="1" x14ac:dyDescent="0.35">
      <c r="A243" s="106"/>
      <c r="B243" s="106" t="s">
        <v>110</v>
      </c>
      <c r="C243" s="79" t="s">
        <v>89</v>
      </c>
      <c r="D243" s="101">
        <f>'Stations Data'!$B40*D2</f>
        <v>3.5108681207022853E-3</v>
      </c>
      <c r="E243" s="101">
        <f>'Stations Data'!$B40*E2</f>
        <v>2.4956040927243085E-3</v>
      </c>
      <c r="F243" s="101">
        <f>'Stations Data'!$B40*F2</f>
        <v>2.4956040927243085E-3</v>
      </c>
      <c r="G243" s="101">
        <f>'Stations Data'!$B40*G2</f>
        <v>2.4956040927243085E-3</v>
      </c>
      <c r="H243" s="101">
        <f>'Stations Data'!$B40*H2</f>
        <v>1.9302175382216026E-3</v>
      </c>
      <c r="I243" s="101">
        <f>'Stations Data'!$B40*I2</f>
        <v>1.9302175382216026E-3</v>
      </c>
      <c r="J243" s="101">
        <f>'Stations Data'!$B40*J2</f>
        <v>1.9302175382216026E-3</v>
      </c>
      <c r="K243" s="101">
        <f>'Stations Data'!$B40*K2</f>
        <v>1.8724629977078854E-3</v>
      </c>
      <c r="L243" s="101">
        <f>'Stations Data'!$B40*L2</f>
        <v>1.8724629977078854E-3</v>
      </c>
      <c r="M243" s="101">
        <f>'Stations Data'!$B40*M2</f>
        <v>1.8724629977078854E-3</v>
      </c>
      <c r="N243" s="101">
        <f>'Stations Data'!$B40*N2</f>
        <v>2.68710599021716E-3</v>
      </c>
      <c r="O243" s="101">
        <f>'Stations Data'!$B40*O2</f>
        <v>2.68710599021716E-3</v>
      </c>
      <c r="P243" s="101">
        <f>'Stations Data'!$B40*P2</f>
        <v>2.68710599021716E-3</v>
      </c>
      <c r="Q243" s="101">
        <f>'Stations Data'!$B40*Q2</f>
        <v>3.7175685814882205E-3</v>
      </c>
      <c r="R243" s="101">
        <f>'Stations Data'!$B40*R2</f>
        <v>3.7175685814882205E-3</v>
      </c>
      <c r="S243" s="101">
        <f>'Stations Data'!$B40*S2</f>
        <v>3.7175685814882205E-3</v>
      </c>
      <c r="T243" s="101">
        <f>'Stations Data'!$B40*T2</f>
        <v>4.1628864859755673E-3</v>
      </c>
      <c r="U243" s="101">
        <f>'Stations Data'!$B40*U2</f>
        <v>4.1628864859755673E-3</v>
      </c>
      <c r="V243" s="101">
        <f>'Stations Data'!$B40*V2</f>
        <v>4.1628864859755673E-3</v>
      </c>
      <c r="W243" s="101">
        <f>'Stations Data'!$B40*W2</f>
        <v>4.0580163992532904E-3</v>
      </c>
      <c r="X243" s="101">
        <f>'Stations Data'!$B40*X2</f>
        <v>4.0580163992532904E-3</v>
      </c>
      <c r="Y243" s="101">
        <f>'Stations Data'!$B40*Y2</f>
        <v>4.0580163992532904E-3</v>
      </c>
      <c r="Z243" s="101">
        <f>'Stations Data'!$B40*Z2</f>
        <v>3.5108681207022853E-3</v>
      </c>
      <c r="AA243" s="101">
        <f>'Stations Data'!$B40*AA2</f>
        <v>3.5108681207022853E-3</v>
      </c>
    </row>
    <row r="244" spans="1:27" s="67" customFormat="1" x14ac:dyDescent="0.35">
      <c r="A244" s="106"/>
      <c r="B244" s="106"/>
      <c r="C244" s="79" t="s">
        <v>49</v>
      </c>
      <c r="D244" s="95">
        <f>Demand!B58</f>
        <v>302.18230239329591</v>
      </c>
      <c r="E244" s="95">
        <f>Demand!C58</f>
        <v>185.1116753071515</v>
      </c>
      <c r="F244" s="95">
        <f>Demand!D58</f>
        <v>117.07062708614444</v>
      </c>
      <c r="G244" s="95">
        <f>Demand!E58</f>
        <v>97.058554079965916</v>
      </c>
      <c r="H244" s="95">
        <f>Demand!F58</f>
        <v>319.19256444854773</v>
      </c>
      <c r="I244" s="95">
        <f>Demand!G58</f>
        <v>622.37547049215254</v>
      </c>
      <c r="J244" s="95">
        <f>Demand!H58</f>
        <v>695.41953696470421</v>
      </c>
      <c r="K244" s="95">
        <f>Demand!I58</f>
        <v>763.46058518571124</v>
      </c>
      <c r="L244" s="95">
        <f>Demand!J58</f>
        <v>758.45756693416661</v>
      </c>
      <c r="M244" s="95">
        <f>Demand!K58</f>
        <v>756.45635963354891</v>
      </c>
      <c r="N244" s="95">
        <f>Demand!L58</f>
        <v>749.45213408138625</v>
      </c>
      <c r="O244" s="95">
        <f>Demand!M58</f>
        <v>743.44851217953271</v>
      </c>
      <c r="P244" s="95">
        <f>Demand!N58</f>
        <v>745.44971948015052</v>
      </c>
      <c r="Q244" s="95">
        <f>Demand!O58</f>
        <v>754.45515233293088</v>
      </c>
      <c r="R244" s="95">
        <f>Demand!P58</f>
        <v>701.42315886655774</v>
      </c>
      <c r="S244" s="95">
        <f>Demand!Q58</f>
        <v>684.41289681130604</v>
      </c>
      <c r="T244" s="95">
        <f>Demand!R58</f>
        <v>715.43160997088273</v>
      </c>
      <c r="U244" s="95">
        <f>Demand!S58</f>
        <v>702.42376251686676</v>
      </c>
      <c r="V244" s="95">
        <f>Demand!T58</f>
        <v>649.39176905049362</v>
      </c>
      <c r="W244" s="95">
        <f>Demand!U58</f>
        <v>601.36279383566512</v>
      </c>
      <c r="X244" s="95">
        <f>Demand!V58</f>
        <v>667.40263475605434</v>
      </c>
      <c r="Y244" s="95">
        <f>Demand!W58</f>
        <v>585.3531354307222</v>
      </c>
      <c r="Z244" s="95">
        <f>Demand!X58</f>
        <v>589.35555003195793</v>
      </c>
      <c r="AA244" s="95">
        <f>Demand!Y58</f>
        <v>583.3519281301044</v>
      </c>
    </row>
    <row r="245" spans="1:27" s="67" customFormat="1" x14ac:dyDescent="0.35">
      <c r="A245" s="106"/>
      <c r="B245" s="106"/>
      <c r="C245" s="81" t="s">
        <v>95</v>
      </c>
      <c r="D245" s="95">
        <f>D304</f>
        <v>302.1823</v>
      </c>
      <c r="E245" s="95">
        <f t="shared" ref="E245:AA245" si="82">E304</f>
        <v>185.11168000000001</v>
      </c>
      <c r="F245" s="95">
        <f t="shared" si="82"/>
        <v>117.07062999999999</v>
      </c>
      <c r="G245" s="95">
        <f t="shared" si="82"/>
        <v>97.058554000000001</v>
      </c>
      <c r="H245" s="95">
        <f t="shared" si="82"/>
        <v>319.19256000000001</v>
      </c>
      <c r="I245" s="95">
        <f t="shared" si="82"/>
        <v>622.37546999999995</v>
      </c>
      <c r="J245" s="95">
        <f t="shared" si="82"/>
        <v>695.41953999999998</v>
      </c>
      <c r="K245" s="95">
        <f t="shared" si="82"/>
        <v>763.46059000000002</v>
      </c>
      <c r="L245" s="95">
        <f t="shared" si="82"/>
        <v>758.45757000000003</v>
      </c>
      <c r="M245" s="95">
        <f t="shared" si="82"/>
        <v>756.45636000000002</v>
      </c>
      <c r="N245" s="95">
        <f t="shared" si="82"/>
        <v>749.45213000000001</v>
      </c>
      <c r="O245" s="95">
        <f t="shared" si="82"/>
        <v>743.44851000000006</v>
      </c>
      <c r="P245" s="95">
        <f t="shared" si="82"/>
        <v>745.44971999999996</v>
      </c>
      <c r="Q245" s="95">
        <f t="shared" si="82"/>
        <v>754.45515</v>
      </c>
      <c r="R245" s="95">
        <f t="shared" si="82"/>
        <v>701.42316000000005</v>
      </c>
      <c r="S245" s="95">
        <f t="shared" si="82"/>
        <v>684.41290000000004</v>
      </c>
      <c r="T245" s="95">
        <f t="shared" si="82"/>
        <v>715.43160999999998</v>
      </c>
      <c r="U245" s="95">
        <f t="shared" si="82"/>
        <v>702.42376000000002</v>
      </c>
      <c r="V245" s="95">
        <f t="shared" si="82"/>
        <v>649.39176999999995</v>
      </c>
      <c r="W245" s="95">
        <f t="shared" si="82"/>
        <v>601.36279000000002</v>
      </c>
      <c r="X245" s="95">
        <f t="shared" si="82"/>
        <v>667.40263000000004</v>
      </c>
      <c r="Y245" s="95">
        <f t="shared" si="82"/>
        <v>585.35314000000005</v>
      </c>
      <c r="Z245" s="95">
        <f t="shared" si="82"/>
        <v>589.35554999999999</v>
      </c>
      <c r="AA245" s="95">
        <f t="shared" si="82"/>
        <v>583.35193000000004</v>
      </c>
    </row>
    <row r="246" spans="1:27" s="67" customFormat="1" x14ac:dyDescent="0.35">
      <c r="A246" s="106"/>
      <c r="B246" s="106"/>
      <c r="C246" s="79" t="s">
        <v>96</v>
      </c>
      <c r="D246" s="95">
        <f>SUM(D245:AA245)/4545</f>
        <v>3.1000000008800876</v>
      </c>
      <c r="E246" s="93" t="s">
        <v>5</v>
      </c>
      <c r="F246" s="93"/>
      <c r="G246" s="93"/>
      <c r="H246" s="95">
        <f>D246*4545*'Stations Data'!B40</f>
        <v>214.14015757869399</v>
      </c>
      <c r="I246" s="93" t="s">
        <v>77</v>
      </c>
      <c r="J246" s="93"/>
      <c r="K246" s="93"/>
      <c r="L246" s="95">
        <f>SUMPRODUCT(D243:AA243,D245:AA245)</f>
        <v>43.701527468427699</v>
      </c>
      <c r="M246" s="95" t="s">
        <v>71</v>
      </c>
      <c r="N246" s="95"/>
      <c r="O246" s="95">
        <f>(SUM(D246*4545/24*D243,D246*4545/24*E243,D246*4545/24*F243,D246*4545/24*G243,D246*4545/24*H243,D246*4545/24*I243,D246*4545/24*J243,D246*4545/24*K243,D246*4545/24*L243,D246*4545/24*M243,D246*4545/24*N243,D246*4545/24*O243,D246*4545/24*P243,D246*4545/24*Q243,D246*4545/24*R243,D246*4545/24*S243,D246*4545/24*T243,D246*4545/24*U243,D246*4545/24*V243,D246*4545/24*W243,D246*4545/24*X243,D246*4545/24*Y243,D246*4545/24*Z243,D246*4545/24*AA243)-SUMPRODUCT(D243:AA243,D245:AA245))</f>
        <v>-0.66738605101939896</v>
      </c>
      <c r="P246" s="93" t="s">
        <v>70</v>
      </c>
      <c r="Q246" s="95"/>
      <c r="R246" s="93">
        <f>((D246*4545/24)*4-SUM(Q245:T245))*'Stations Data'!B40</f>
        <v>-7.7128577641571967</v>
      </c>
      <c r="S246" s="93"/>
      <c r="T246" s="95"/>
      <c r="U246" s="95"/>
      <c r="V246" s="95"/>
      <c r="W246" s="95"/>
      <c r="X246" s="95"/>
      <c r="Y246" s="95"/>
      <c r="Z246" s="95"/>
      <c r="AA246" s="95"/>
    </row>
    <row r="247" spans="1:27" s="67" customFormat="1" x14ac:dyDescent="0.35">
      <c r="A247" s="106"/>
      <c r="B247" s="106" t="s">
        <v>200</v>
      </c>
      <c r="C247" s="79" t="s">
        <v>90</v>
      </c>
      <c r="D247" s="101">
        <f>'Stations Data'!$B41*D2</f>
        <v>7.8573187929771495E-4</v>
      </c>
      <c r="E247" s="101">
        <f>'Stations Data'!$B41*E2</f>
        <v>5.5851590727569174E-4</v>
      </c>
      <c r="F247" s="101">
        <f>'Stations Data'!$B41*F2</f>
        <v>5.5851590727569174E-4</v>
      </c>
      <c r="G247" s="101">
        <f>'Stations Data'!$B41*G2</f>
        <v>5.5851590727569174E-4</v>
      </c>
      <c r="H247" s="101">
        <f>'Stations Data'!$B41*H2</f>
        <v>4.3198246177839739E-4</v>
      </c>
      <c r="I247" s="101">
        <f>'Stations Data'!$B41*I2</f>
        <v>4.3198246177839739E-4</v>
      </c>
      <c r="J247" s="101">
        <f>'Stations Data'!$B41*J2</f>
        <v>4.3198246177839739E-4</v>
      </c>
      <c r="K247" s="101">
        <f>'Stations Data'!$B41*K2</f>
        <v>4.1905700229211466E-4</v>
      </c>
      <c r="L247" s="101">
        <f>'Stations Data'!$B41*L2</f>
        <v>4.1905700229211466E-4</v>
      </c>
      <c r="M247" s="101">
        <f>'Stations Data'!$B41*M2</f>
        <v>4.1905700229211466E-4</v>
      </c>
      <c r="N247" s="101">
        <f>'Stations Data'!$B41*N2</f>
        <v>6.013740097828398E-4</v>
      </c>
      <c r="O247" s="101">
        <f>'Stations Data'!$B41*O2</f>
        <v>6.013740097828398E-4</v>
      </c>
      <c r="P247" s="101">
        <f>'Stations Data'!$B41*P2</f>
        <v>6.013740097828398E-4</v>
      </c>
      <c r="Q247" s="101">
        <f>'Stations Data'!$B41*Q2</f>
        <v>8.3199141851177951E-4</v>
      </c>
      <c r="R247" s="101">
        <f>'Stations Data'!$B41*R2</f>
        <v>8.3199141851177951E-4</v>
      </c>
      <c r="S247" s="101">
        <f>'Stations Data'!$B41*S2</f>
        <v>8.3199141851177951E-4</v>
      </c>
      <c r="T247" s="101">
        <f>'Stations Data'!$B41*T2</f>
        <v>9.3165351402443354E-4</v>
      </c>
      <c r="U247" s="101">
        <f>'Stations Data'!$B41*U2</f>
        <v>9.3165351402443354E-4</v>
      </c>
      <c r="V247" s="101">
        <f>'Stations Data'!$B41*V2</f>
        <v>9.3165351402443354E-4</v>
      </c>
      <c r="W247" s="101">
        <f>'Stations Data'!$B41*W2</f>
        <v>9.0818360074670945E-4</v>
      </c>
      <c r="X247" s="101">
        <f>'Stations Data'!$B41*X2</f>
        <v>9.0818360074670945E-4</v>
      </c>
      <c r="Y247" s="101">
        <f>'Stations Data'!$B41*Y2</f>
        <v>9.0818360074670945E-4</v>
      </c>
      <c r="Z247" s="101">
        <f>'Stations Data'!$B41*Z2</f>
        <v>7.8573187929771495E-4</v>
      </c>
      <c r="AA247" s="101">
        <f>'Stations Data'!$B41*AA2</f>
        <v>7.8573187929771495E-4</v>
      </c>
    </row>
    <row r="248" spans="1:27" s="67" customFormat="1" x14ac:dyDescent="0.35">
      <c r="A248" s="106"/>
      <c r="B248" s="106"/>
      <c r="C248" s="79" t="s">
        <v>49</v>
      </c>
      <c r="D248" s="95">
        <f>Demand!B60</f>
        <v>12.063364485981309</v>
      </c>
      <c r="E248" s="95">
        <f>Demand!C60</f>
        <v>0</v>
      </c>
      <c r="F248" s="95">
        <f>Demand!D60</f>
        <v>0</v>
      </c>
      <c r="G248" s="95">
        <f>Demand!E60</f>
        <v>0</v>
      </c>
      <c r="H248" s="95">
        <f>Demand!F60</f>
        <v>0</v>
      </c>
      <c r="I248" s="95">
        <f>Demand!G60</f>
        <v>110.58084112149531</v>
      </c>
      <c r="J248" s="95">
        <f>Demand!H60</f>
        <v>277.45738317757008</v>
      </c>
      <c r="K248" s="95">
        <f>Demand!I60</f>
        <v>280.47322429906541</v>
      </c>
      <c r="L248" s="95">
        <f>Demand!J60</f>
        <v>281.4785046728972</v>
      </c>
      <c r="M248" s="95">
        <f>Demand!K60</f>
        <v>172.90822429906541</v>
      </c>
      <c r="N248" s="95">
        <f>Demand!L60</f>
        <v>278.46266355140182</v>
      </c>
      <c r="O248" s="95">
        <f>Demand!M60</f>
        <v>194.01911214953267</v>
      </c>
      <c r="P248" s="95">
        <f>Demand!N60</f>
        <v>127.67060747663551</v>
      </c>
      <c r="Q248" s="95">
        <f>Demand!O60</f>
        <v>200.05079439252336</v>
      </c>
      <c r="R248" s="95">
        <f>Demand!P60</f>
        <v>251.3200934579439</v>
      </c>
      <c r="S248" s="95">
        <f>Demand!Q60</f>
        <v>157.8290186915888</v>
      </c>
      <c r="T248" s="95">
        <f>Demand!R60</f>
        <v>138.72869158878504</v>
      </c>
      <c r="U248" s="95">
        <f>Demand!S60</f>
        <v>148.78149532710282</v>
      </c>
      <c r="V248" s="95">
        <f>Demand!T60</f>
        <v>241.26728971962612</v>
      </c>
      <c r="W248" s="95">
        <f>Demand!U60</f>
        <v>127.67060747663551</v>
      </c>
      <c r="X248" s="95">
        <f>Demand!V60</f>
        <v>124.6547663551402</v>
      </c>
      <c r="Y248" s="95">
        <f>Demand!W60</f>
        <v>79.417149532710283</v>
      </c>
      <c r="Z248" s="95">
        <f>Demand!X60</f>
        <v>14.073925233644859</v>
      </c>
      <c r="AA248" s="95">
        <f>Demand!Y60</f>
        <v>8.0422429906542057</v>
      </c>
    </row>
    <row r="249" spans="1:27" s="67" customFormat="1" x14ac:dyDescent="0.35">
      <c r="A249" s="106"/>
      <c r="B249" s="106"/>
      <c r="C249" s="81" t="s">
        <v>98</v>
      </c>
      <c r="D249" s="95">
        <f>D305</f>
        <v>12.063364</v>
      </c>
      <c r="E249" s="95">
        <f t="shared" ref="E249:AA249" si="83">E305</f>
        <v>0</v>
      </c>
      <c r="F249" s="95">
        <f t="shared" si="83"/>
        <v>0</v>
      </c>
      <c r="G249" s="95">
        <f t="shared" si="83"/>
        <v>0</v>
      </c>
      <c r="H249" s="95">
        <f t="shared" si="83"/>
        <v>0</v>
      </c>
      <c r="I249" s="95">
        <f t="shared" si="83"/>
        <v>110.58083999999999</v>
      </c>
      <c r="J249" s="95">
        <f t="shared" si="83"/>
        <v>277.45738</v>
      </c>
      <c r="K249" s="95">
        <f t="shared" si="83"/>
        <v>280.47322000000003</v>
      </c>
      <c r="L249" s="95">
        <f t="shared" si="83"/>
        <v>281.4785</v>
      </c>
      <c r="M249" s="95">
        <f t="shared" si="83"/>
        <v>172.90822</v>
      </c>
      <c r="N249" s="95">
        <f t="shared" si="83"/>
        <v>278.46266000000003</v>
      </c>
      <c r="O249" s="95">
        <f t="shared" si="83"/>
        <v>194.01911000000001</v>
      </c>
      <c r="P249" s="95">
        <f t="shared" si="83"/>
        <v>127.67061</v>
      </c>
      <c r="Q249" s="95">
        <f t="shared" si="83"/>
        <v>200.05079000000001</v>
      </c>
      <c r="R249" s="95">
        <f t="shared" si="83"/>
        <v>251.32008999999999</v>
      </c>
      <c r="S249" s="95">
        <f t="shared" si="83"/>
        <v>157.82902000000001</v>
      </c>
      <c r="T249" s="95">
        <f t="shared" si="83"/>
        <v>138.72869</v>
      </c>
      <c r="U249" s="95">
        <f t="shared" si="83"/>
        <v>148.78149999999999</v>
      </c>
      <c r="V249" s="95">
        <f t="shared" si="83"/>
        <v>241.26729</v>
      </c>
      <c r="W249" s="95">
        <f t="shared" si="83"/>
        <v>127.67061</v>
      </c>
      <c r="X249" s="95">
        <f t="shared" si="83"/>
        <v>124.65477</v>
      </c>
      <c r="Y249" s="95">
        <f t="shared" si="83"/>
        <v>79.417150000000007</v>
      </c>
      <c r="Z249" s="95">
        <f t="shared" si="83"/>
        <v>14.073924999999999</v>
      </c>
      <c r="AA249" s="95">
        <f t="shared" si="83"/>
        <v>8.0422429999999991</v>
      </c>
    </row>
    <row r="250" spans="1:27" s="67" customFormat="1" x14ac:dyDescent="0.35">
      <c r="A250" s="106"/>
      <c r="B250" s="106"/>
      <c r="C250" s="79" t="s">
        <v>97</v>
      </c>
      <c r="D250" s="95">
        <f>SUM(D249:AA249)/4545</f>
        <v>0.70999999603960406</v>
      </c>
      <c r="E250" s="93" t="s">
        <v>5</v>
      </c>
      <c r="F250" s="93"/>
      <c r="G250" s="93"/>
      <c r="H250" s="95">
        <f>D250*4545*'Stations Data'!B41</f>
        <v>10.976266120158389</v>
      </c>
      <c r="I250" s="93" t="s">
        <v>77</v>
      </c>
      <c r="J250" s="93"/>
      <c r="K250" s="93"/>
      <c r="L250" s="95">
        <f>SUMPRODUCT(D247:AA247,D249:AA249)</f>
        <v>2.1641155120073039</v>
      </c>
      <c r="M250" s="95" t="s">
        <v>71</v>
      </c>
      <c r="N250" s="95"/>
      <c r="O250" s="95">
        <f>(SUM(D250*4545/24*D247,D250*4545/24*E247,D250*4545/24*F247,D250*4545/24*G247,D250*4545/24*H247,D250*4545/24*I247,D250*4545/24*J247,D250*4545/24*K247,D250*4545/24*L247,D250*4545/24*M247,D250*4545/24*N247,D250*4545/24*O247,D250*4545/24*P247,D250*4545/24*Q247,D250*4545/24*R247,D250*4545/24*S247,D250*4545/24*T247,D250*4545/24*U247,D250*4545/24*V247,D250*4545/24*W247,D250*4545/24*X247,D250*4545/24*Y247,D250*4545/24*Z247,D250*4545/24*AA247)-SUMPRODUCT(D247:AA247,D249:AA249))</f>
        <v>4.1702368165026371E-2</v>
      </c>
      <c r="P250" s="93" t="s">
        <v>70</v>
      </c>
      <c r="Q250" s="95"/>
      <c r="R250" s="93">
        <f>((D250*4545/24)*4-SUM(Q249:T249))*'Stations Data'!B41</f>
        <v>-0.7146540734852479</v>
      </c>
      <c r="S250" s="93"/>
      <c r="T250" s="95"/>
      <c r="U250" s="95"/>
      <c r="V250" s="95"/>
      <c r="W250" s="95"/>
      <c r="X250" s="95"/>
      <c r="Y250" s="95"/>
      <c r="Z250" s="95"/>
      <c r="AA250" s="95"/>
    </row>
    <row r="251" spans="1:27" s="67" customFormat="1" x14ac:dyDescent="0.35">
      <c r="C251" s="76"/>
      <c r="D251" s="95"/>
      <c r="E251" s="95"/>
      <c r="F251" s="95"/>
      <c r="G251" s="95"/>
      <c r="H251" s="95"/>
      <c r="I251" s="95"/>
      <c r="J251" s="95"/>
      <c r="K251" s="95"/>
      <c r="L251" s="95"/>
      <c r="M251" s="95"/>
      <c r="N251" s="95"/>
      <c r="O251" s="95"/>
      <c r="P251" s="95"/>
      <c r="Q251" s="96"/>
      <c r="R251" s="93"/>
      <c r="S251" s="93"/>
      <c r="T251" s="95"/>
      <c r="U251" s="95"/>
      <c r="V251" s="95"/>
      <c r="W251" s="95"/>
      <c r="X251" s="95"/>
      <c r="Y251" s="95"/>
      <c r="Z251" s="95"/>
      <c r="AA251" s="95"/>
    </row>
    <row r="252" spans="1:27" x14ac:dyDescent="0.35">
      <c r="C252" s="77" t="s">
        <v>30</v>
      </c>
      <c r="D252" s="93">
        <f>SUM(ABS(S13),ABS(S24),ABS(S35),ABS(S46),ABS(S67),ABS(S80),ABS(S121),ABS(S128))</f>
        <v>19538.706269998867</v>
      </c>
      <c r="R252" s="95"/>
    </row>
    <row r="253" spans="1:27" x14ac:dyDescent="0.35">
      <c r="C253" s="76" t="s">
        <v>27</v>
      </c>
      <c r="D253" s="95">
        <f>SUMPRODUCT(D3:AA3,D257:AA257)+SUMPRODUCT(D14:AA14,D259:AA259)+SUMPRODUCT(D25:AA25,D261:AA261)+SUMPRODUCT(D36:AA36,D264:AA264)+SUMPRODUCT(D55:AA55,D268:AA268)+SUMPRODUCT(D68:AA68,D270:AA270)*'Stations Data'!E13+SUMPRODUCT(D108:AA108,D278:AA278)+SUMPRODUCT(D129:AA129,D139:AA139)+SUMPRODUCT(D148:AA148,D157:AA157)+SUMPRODUCT(D159:AA159,D164:AA164)+SUMPRODUCT(D166:AA166,D171:AA171)+SUMPRODUCT(D173:AA173,D178:AA178)+SUMPRODUCT(D180:AA180,D189:AA189)+SUMPRODUCT(D191:AA191,D200:AA200)+SUMPRODUCT(D202:AA202,D208:AA208)+SUMPRODUCT(D210:AA210,D215:AA215)+SUMPRODUCT(D217:AA217,D224:AA224)+SUMPRODUCT(D235:AA235,D241:AA241)+SUMPRODUCT(D243:AA243,D245:AA245)+SUMPRODUCT(D247:AA247,D249:AA249)</f>
        <v>721030.58788217697</v>
      </c>
    </row>
    <row r="254" spans="1:27" x14ac:dyDescent="0.35">
      <c r="D254" s="95"/>
    </row>
    <row r="255" spans="1:27" x14ac:dyDescent="0.35">
      <c r="D255" s="95"/>
    </row>
    <row r="256" spans="1:27" x14ac:dyDescent="0.35">
      <c r="C256" s="76" t="s">
        <v>201</v>
      </c>
      <c r="D256" s="95">
        <v>0</v>
      </c>
      <c r="E256" s="93">
        <v>0</v>
      </c>
      <c r="F256" s="93">
        <v>0</v>
      </c>
      <c r="G256" s="93">
        <v>0</v>
      </c>
      <c r="H256" s="93">
        <v>0</v>
      </c>
      <c r="I256" s="93">
        <v>0</v>
      </c>
      <c r="J256" s="93">
        <v>0</v>
      </c>
      <c r="K256" s="93">
        <v>0</v>
      </c>
      <c r="L256" s="93">
        <v>0</v>
      </c>
      <c r="M256" s="93">
        <v>0</v>
      </c>
      <c r="N256" s="93">
        <v>0</v>
      </c>
      <c r="O256" s="93">
        <v>0</v>
      </c>
      <c r="P256" s="93">
        <v>0</v>
      </c>
      <c r="Q256" s="93">
        <v>4894.8645999999999</v>
      </c>
      <c r="R256" s="93">
        <v>0</v>
      </c>
      <c r="S256" s="93">
        <v>0</v>
      </c>
      <c r="T256" s="93">
        <v>105.13538</v>
      </c>
      <c r="U256" s="93">
        <v>0</v>
      </c>
      <c r="V256" s="93">
        <v>0</v>
      </c>
      <c r="W256" s="93">
        <v>0</v>
      </c>
      <c r="X256" s="93">
        <v>0</v>
      </c>
      <c r="Y256" s="93">
        <v>0</v>
      </c>
      <c r="Z256" s="93">
        <v>5000</v>
      </c>
      <c r="AA256" s="93">
        <v>0</v>
      </c>
    </row>
    <row r="257" spans="3:27" x14ac:dyDescent="0.35">
      <c r="C257" s="88" t="s">
        <v>202</v>
      </c>
      <c r="D257" s="93">
        <v>17000</v>
      </c>
      <c r="E257" s="93">
        <v>17000</v>
      </c>
      <c r="F257" s="93">
        <v>17000</v>
      </c>
      <c r="G257" s="93">
        <v>17000</v>
      </c>
      <c r="H257" s="93">
        <v>17000</v>
      </c>
      <c r="I257" s="93">
        <v>17000</v>
      </c>
      <c r="J257" s="93">
        <v>17000</v>
      </c>
      <c r="K257" s="93">
        <v>17000</v>
      </c>
      <c r="L257" s="93">
        <v>17000</v>
      </c>
      <c r="M257" s="93">
        <v>17000</v>
      </c>
      <c r="N257" s="93">
        <v>17000</v>
      </c>
      <c r="O257" s="93">
        <v>17000</v>
      </c>
      <c r="P257" s="93">
        <v>17000</v>
      </c>
      <c r="Q257" s="93">
        <v>12105.135</v>
      </c>
      <c r="R257" s="93">
        <v>12105.135</v>
      </c>
      <c r="S257" s="93">
        <v>12105.135</v>
      </c>
      <c r="T257" s="93">
        <v>12000</v>
      </c>
      <c r="U257" s="93">
        <v>12000</v>
      </c>
      <c r="V257" s="93">
        <v>12000</v>
      </c>
      <c r="W257" s="93">
        <v>12000</v>
      </c>
      <c r="X257" s="93">
        <v>12000</v>
      </c>
      <c r="Y257" s="93">
        <v>12000</v>
      </c>
      <c r="Z257" s="93">
        <v>17000</v>
      </c>
      <c r="AA257" s="93">
        <v>17000</v>
      </c>
    </row>
    <row r="258" spans="3:27" x14ac:dyDescent="0.35">
      <c r="C258" s="76" t="s">
        <v>206</v>
      </c>
      <c r="D258" s="93">
        <v>0</v>
      </c>
      <c r="E258" s="93">
        <v>0</v>
      </c>
      <c r="F258" s="93">
        <v>0</v>
      </c>
      <c r="G258" s="93">
        <v>0</v>
      </c>
      <c r="H258" s="93">
        <v>0</v>
      </c>
      <c r="I258" s="93">
        <v>0</v>
      </c>
      <c r="J258" s="93">
        <v>0</v>
      </c>
      <c r="K258" s="93">
        <v>1000</v>
      </c>
      <c r="L258" s="93">
        <v>0</v>
      </c>
      <c r="M258" s="93">
        <v>0</v>
      </c>
      <c r="N258" s="93">
        <v>0</v>
      </c>
      <c r="O258" s="93">
        <v>0</v>
      </c>
      <c r="P258" s="93">
        <v>0</v>
      </c>
      <c r="Q258" s="93">
        <v>0</v>
      </c>
      <c r="R258" s="93">
        <v>0</v>
      </c>
      <c r="S258" s="93">
        <v>0</v>
      </c>
      <c r="T258" s="93">
        <v>0</v>
      </c>
      <c r="U258" s="93">
        <v>0</v>
      </c>
      <c r="V258" s="93">
        <v>0</v>
      </c>
      <c r="W258" s="93">
        <v>0</v>
      </c>
      <c r="X258" s="93">
        <v>0</v>
      </c>
      <c r="Y258" s="93">
        <v>0</v>
      </c>
      <c r="Z258" s="93">
        <v>0</v>
      </c>
      <c r="AA258" s="93">
        <v>0</v>
      </c>
    </row>
    <row r="259" spans="3:27" x14ac:dyDescent="0.35">
      <c r="C259" s="88" t="s">
        <v>205</v>
      </c>
      <c r="D259" s="93">
        <v>7900.8416999999999</v>
      </c>
      <c r="E259" s="93">
        <v>7900.8416999999999</v>
      </c>
      <c r="F259" s="93">
        <v>7900.8416999999999</v>
      </c>
      <c r="G259" s="93">
        <v>7900.8416999999999</v>
      </c>
      <c r="H259" s="93">
        <v>7900.8416999999999</v>
      </c>
      <c r="I259" s="93">
        <v>7900.8416999999999</v>
      </c>
      <c r="J259" s="93">
        <v>7900.8416999999999</v>
      </c>
      <c r="K259" s="93">
        <v>6900.8416999999999</v>
      </c>
      <c r="L259" s="93">
        <v>6900.8416999999999</v>
      </c>
      <c r="M259" s="93">
        <v>6900.8416999999999</v>
      </c>
      <c r="N259" s="93">
        <v>6900.8416999999999</v>
      </c>
      <c r="O259" s="93">
        <v>6900.8416999999999</v>
      </c>
      <c r="P259" s="93">
        <v>6900.8416999999999</v>
      </c>
      <c r="Q259" s="93">
        <v>6900.8416999999999</v>
      </c>
      <c r="R259" s="93">
        <v>6900.8416999999999</v>
      </c>
      <c r="S259" s="93">
        <v>6900.8416999999999</v>
      </c>
      <c r="T259" s="93">
        <v>6900.8416999999999</v>
      </c>
      <c r="U259" s="93">
        <v>6900.8416999999999</v>
      </c>
      <c r="V259" s="93">
        <v>6900.8416999999999</v>
      </c>
      <c r="W259" s="93">
        <v>6900.8416999999999</v>
      </c>
      <c r="X259" s="93">
        <v>6900.8416999999999</v>
      </c>
      <c r="Y259" s="93">
        <v>6900.8416999999999</v>
      </c>
      <c r="Z259" s="93">
        <v>6900.8416999999999</v>
      </c>
      <c r="AA259" s="93">
        <v>6900.8416999999999</v>
      </c>
    </row>
    <row r="260" spans="3:27" x14ac:dyDescent="0.35">
      <c r="C260" s="76" t="s">
        <v>207</v>
      </c>
      <c r="D260" s="93">
        <v>0</v>
      </c>
      <c r="E260" s="93">
        <v>0</v>
      </c>
      <c r="F260" s="93">
        <v>0</v>
      </c>
      <c r="G260" s="93">
        <v>650</v>
      </c>
      <c r="H260" s="93">
        <v>0</v>
      </c>
      <c r="I260" s="93">
        <v>0</v>
      </c>
      <c r="J260" s="93">
        <v>0</v>
      </c>
      <c r="K260" s="93">
        <v>0</v>
      </c>
      <c r="L260" s="93">
        <v>570.78570999999999</v>
      </c>
      <c r="M260" s="93">
        <v>0</v>
      </c>
      <c r="N260" s="93">
        <v>0</v>
      </c>
      <c r="O260" s="93">
        <v>0</v>
      </c>
      <c r="P260" s="93">
        <v>0</v>
      </c>
      <c r="Q260" s="93">
        <v>0</v>
      </c>
      <c r="R260" s="93">
        <v>0</v>
      </c>
      <c r="S260" s="93">
        <v>0</v>
      </c>
      <c r="T260" s="93">
        <v>0</v>
      </c>
      <c r="U260" s="93">
        <v>0</v>
      </c>
      <c r="V260" s="93">
        <v>0</v>
      </c>
      <c r="W260" s="93">
        <v>0</v>
      </c>
      <c r="X260" s="93">
        <v>0</v>
      </c>
      <c r="Y260" s="93">
        <v>0</v>
      </c>
      <c r="Z260" s="93">
        <v>79.214286000000001</v>
      </c>
      <c r="AA260" s="93">
        <v>0</v>
      </c>
    </row>
    <row r="261" spans="3:27" x14ac:dyDescent="0.35">
      <c r="C261" s="88" t="s">
        <v>208</v>
      </c>
      <c r="D261" s="93">
        <v>1280</v>
      </c>
      <c r="E261" s="93">
        <v>1280</v>
      </c>
      <c r="F261" s="93">
        <v>1280</v>
      </c>
      <c r="G261" s="93">
        <v>630</v>
      </c>
      <c r="H261" s="93">
        <v>630</v>
      </c>
      <c r="I261" s="93">
        <v>630</v>
      </c>
      <c r="J261" s="93">
        <v>630</v>
      </c>
      <c r="K261" s="93">
        <v>630</v>
      </c>
      <c r="L261" s="93">
        <v>1200.7856999999999</v>
      </c>
      <c r="M261" s="93">
        <v>1200.7856999999999</v>
      </c>
      <c r="N261" s="93">
        <v>1200.7856999999999</v>
      </c>
      <c r="O261" s="93">
        <v>1200.7856999999999</v>
      </c>
      <c r="P261" s="93">
        <v>1200.7856999999999</v>
      </c>
      <c r="Q261" s="93">
        <v>1200.7856999999999</v>
      </c>
      <c r="R261" s="93">
        <v>1200.7856999999999</v>
      </c>
      <c r="S261" s="93">
        <v>1200.7856999999999</v>
      </c>
      <c r="T261" s="93">
        <v>1200.7856999999999</v>
      </c>
      <c r="U261" s="93">
        <v>1200.7856999999999</v>
      </c>
      <c r="V261" s="93">
        <v>1200.7856999999999</v>
      </c>
      <c r="W261" s="93">
        <v>1200.7856999999999</v>
      </c>
      <c r="X261" s="93">
        <v>1200.7856999999999</v>
      </c>
      <c r="Y261" s="93">
        <v>1200.7856999999999</v>
      </c>
      <c r="Z261" s="93">
        <v>1280</v>
      </c>
      <c r="AA261" s="93">
        <v>1280</v>
      </c>
    </row>
    <row r="262" spans="3:27" x14ac:dyDescent="0.35">
      <c r="C262" s="76" t="s">
        <v>203</v>
      </c>
      <c r="D262" s="93">
        <v>0</v>
      </c>
      <c r="E262" s="93">
        <v>0</v>
      </c>
      <c r="F262" s="93">
        <v>0</v>
      </c>
      <c r="G262" s="93">
        <v>0</v>
      </c>
      <c r="H262" s="93">
        <v>0</v>
      </c>
      <c r="I262" s="93">
        <v>0</v>
      </c>
      <c r="J262" s="93">
        <v>0</v>
      </c>
      <c r="K262" s="93">
        <v>0</v>
      </c>
      <c r="L262" s="93">
        <v>0</v>
      </c>
      <c r="M262" s="93">
        <v>0</v>
      </c>
      <c r="N262" s="93">
        <v>0</v>
      </c>
      <c r="O262" s="93">
        <v>0</v>
      </c>
      <c r="P262" s="93">
        <v>0</v>
      </c>
      <c r="Q262" s="93">
        <v>4000</v>
      </c>
      <c r="R262" s="93">
        <v>0</v>
      </c>
      <c r="S262" s="93">
        <v>0</v>
      </c>
      <c r="T262" s="93">
        <v>0</v>
      </c>
      <c r="U262" s="93">
        <v>0</v>
      </c>
      <c r="V262" s="93">
        <v>0</v>
      </c>
      <c r="W262" s="93">
        <v>0</v>
      </c>
      <c r="X262" s="93">
        <v>0</v>
      </c>
      <c r="Y262" s="93">
        <v>0</v>
      </c>
      <c r="Z262" s="93">
        <v>0</v>
      </c>
      <c r="AA262" s="93">
        <v>0</v>
      </c>
    </row>
    <row r="263" spans="3:27" x14ac:dyDescent="0.35">
      <c r="C263" s="76" t="s">
        <v>204</v>
      </c>
      <c r="D263" s="93">
        <v>2300</v>
      </c>
      <c r="E263" s="93">
        <v>2300</v>
      </c>
      <c r="F263" s="93">
        <v>2300</v>
      </c>
      <c r="G263" s="93">
        <v>2300</v>
      </c>
      <c r="H263" s="93">
        <v>2300</v>
      </c>
      <c r="I263" s="93">
        <v>2300</v>
      </c>
      <c r="J263" s="93">
        <v>2300</v>
      </c>
      <c r="K263" s="93">
        <v>2300</v>
      </c>
      <c r="L263" s="93">
        <v>2300</v>
      </c>
      <c r="M263" s="93">
        <v>2300</v>
      </c>
      <c r="N263" s="93">
        <v>2300</v>
      </c>
      <c r="O263" s="93">
        <v>2300</v>
      </c>
      <c r="P263" s="93">
        <v>2300</v>
      </c>
      <c r="Q263" s="93">
        <v>2300</v>
      </c>
      <c r="R263" s="93">
        <v>2300</v>
      </c>
      <c r="S263" s="93">
        <v>2300</v>
      </c>
      <c r="T263" s="93">
        <v>2300</v>
      </c>
      <c r="U263" s="93">
        <v>2300</v>
      </c>
      <c r="V263" s="93">
        <v>2300</v>
      </c>
      <c r="W263" s="93">
        <v>2300</v>
      </c>
      <c r="X263" s="93">
        <v>2300</v>
      </c>
      <c r="Y263" s="93">
        <v>2300</v>
      </c>
      <c r="Z263" s="93">
        <v>2300</v>
      </c>
      <c r="AA263" s="93">
        <v>2300</v>
      </c>
    </row>
    <row r="264" spans="3:27" x14ac:dyDescent="0.35">
      <c r="C264" s="88" t="s">
        <v>209</v>
      </c>
      <c r="D264" s="93">
        <v>4328.3082999999997</v>
      </c>
      <c r="E264" s="93">
        <v>4328.3082999999997</v>
      </c>
      <c r="F264" s="93">
        <v>4328.3082999999997</v>
      </c>
      <c r="G264" s="93">
        <v>4328.3082999999997</v>
      </c>
      <c r="H264" s="93">
        <v>4328.3082999999997</v>
      </c>
      <c r="I264" s="93">
        <v>4328.3082999999997</v>
      </c>
      <c r="J264" s="93">
        <v>4328.3082999999997</v>
      </c>
      <c r="K264" s="93">
        <v>4328.3082999999997</v>
      </c>
      <c r="L264" s="93">
        <v>4328.3082999999997</v>
      </c>
      <c r="M264" s="93">
        <v>4328.3082999999997</v>
      </c>
      <c r="N264" s="93">
        <v>4328.3082999999997</v>
      </c>
      <c r="O264" s="93">
        <v>4328.3082999999997</v>
      </c>
      <c r="P264" s="93">
        <v>4328.3082999999997</v>
      </c>
      <c r="Q264" s="93">
        <v>328.30833000000001</v>
      </c>
      <c r="R264" s="93">
        <v>328.30833000000001</v>
      </c>
      <c r="S264" s="93">
        <v>328.30833000000001</v>
      </c>
      <c r="T264" s="93">
        <v>328.30833000000001</v>
      </c>
      <c r="U264" s="93">
        <v>328.30833000000001</v>
      </c>
      <c r="V264" s="93">
        <v>328.30833000000001</v>
      </c>
      <c r="W264" s="93">
        <v>328.30833000000001</v>
      </c>
      <c r="X264" s="93">
        <v>328.30833000000001</v>
      </c>
      <c r="Y264" s="93">
        <v>328.30833000000001</v>
      </c>
      <c r="Z264" s="93">
        <v>328.30833000000001</v>
      </c>
      <c r="AA264" s="93">
        <v>328.30833000000001</v>
      </c>
    </row>
    <row r="265" spans="3:27" x14ac:dyDescent="0.35">
      <c r="C265" s="76" t="s">
        <v>210</v>
      </c>
      <c r="D265" s="95">
        <v>0</v>
      </c>
      <c r="E265" s="93">
        <v>0</v>
      </c>
      <c r="F265" s="93">
        <v>0</v>
      </c>
      <c r="G265" s="93">
        <v>0</v>
      </c>
      <c r="H265" s="93">
        <v>0</v>
      </c>
      <c r="I265" s="93">
        <v>0</v>
      </c>
      <c r="J265" s="93">
        <v>0</v>
      </c>
      <c r="K265" s="93">
        <v>0</v>
      </c>
      <c r="L265" s="93">
        <v>0</v>
      </c>
      <c r="M265" s="93">
        <v>8000</v>
      </c>
      <c r="N265" s="93">
        <v>0</v>
      </c>
      <c r="O265" s="93">
        <v>0</v>
      </c>
      <c r="P265" s="93">
        <v>0</v>
      </c>
      <c r="Q265" s="93">
        <v>0</v>
      </c>
      <c r="R265" s="93">
        <v>0</v>
      </c>
      <c r="S265" s="93">
        <v>0</v>
      </c>
      <c r="T265" s="93">
        <v>0</v>
      </c>
      <c r="U265" s="93">
        <v>0</v>
      </c>
      <c r="V265" s="93">
        <v>0</v>
      </c>
      <c r="W265" s="93">
        <v>0</v>
      </c>
      <c r="X265" s="93">
        <v>0</v>
      </c>
      <c r="Y265" s="93">
        <v>0</v>
      </c>
      <c r="Z265" s="93">
        <v>0</v>
      </c>
      <c r="AA265" s="93">
        <v>5641</v>
      </c>
    </row>
    <row r="266" spans="3:27" x14ac:dyDescent="0.35">
      <c r="C266" s="88" t="s">
        <v>211</v>
      </c>
      <c r="D266" s="95">
        <v>500</v>
      </c>
      <c r="E266" s="93">
        <v>500</v>
      </c>
      <c r="F266" s="93">
        <v>500</v>
      </c>
      <c r="G266" s="93">
        <v>500</v>
      </c>
      <c r="H266" s="93">
        <v>500</v>
      </c>
      <c r="I266" s="93">
        <v>500</v>
      </c>
      <c r="J266" s="93">
        <v>500</v>
      </c>
      <c r="K266" s="93">
        <v>500</v>
      </c>
      <c r="L266" s="93">
        <v>500</v>
      </c>
      <c r="M266" s="93">
        <v>500</v>
      </c>
      <c r="N266" s="93">
        <v>500</v>
      </c>
      <c r="O266" s="93">
        <v>500</v>
      </c>
      <c r="P266" s="93">
        <v>500</v>
      </c>
      <c r="Q266" s="93">
        <v>500</v>
      </c>
      <c r="R266" s="93">
        <v>500</v>
      </c>
      <c r="S266" s="93">
        <v>500</v>
      </c>
      <c r="T266" s="93">
        <v>500</v>
      </c>
      <c r="U266" s="93">
        <v>500</v>
      </c>
      <c r="V266" s="93">
        <v>500</v>
      </c>
      <c r="W266" s="93">
        <v>500</v>
      </c>
      <c r="X266" s="93">
        <v>500</v>
      </c>
      <c r="Y266" s="93">
        <v>500</v>
      </c>
      <c r="Z266" s="93">
        <v>500</v>
      </c>
      <c r="AA266" s="93">
        <v>500</v>
      </c>
    </row>
    <row r="267" spans="3:27" x14ac:dyDescent="0.35">
      <c r="C267" s="76" t="s">
        <v>212</v>
      </c>
      <c r="D267" s="93">
        <v>0</v>
      </c>
      <c r="E267" s="93">
        <v>0</v>
      </c>
      <c r="F267" s="93">
        <v>0</v>
      </c>
      <c r="G267" s="93">
        <v>0</v>
      </c>
      <c r="H267" s="93">
        <v>0</v>
      </c>
      <c r="I267" s="93">
        <v>0</v>
      </c>
      <c r="J267" s="93">
        <v>0</v>
      </c>
      <c r="K267" s="93">
        <v>0</v>
      </c>
      <c r="L267" s="93">
        <v>0</v>
      </c>
      <c r="M267" s="93">
        <v>0</v>
      </c>
      <c r="N267" s="93">
        <v>0</v>
      </c>
      <c r="O267" s="93">
        <v>0</v>
      </c>
      <c r="P267" s="93">
        <v>0</v>
      </c>
      <c r="Q267" s="93">
        <v>0</v>
      </c>
      <c r="R267" s="93">
        <v>0</v>
      </c>
      <c r="S267" s="93">
        <v>0</v>
      </c>
      <c r="T267" s="93">
        <v>0</v>
      </c>
      <c r="U267" s="93">
        <v>0</v>
      </c>
      <c r="V267" s="93">
        <v>0</v>
      </c>
      <c r="W267" s="93">
        <v>0</v>
      </c>
      <c r="X267" s="93">
        <v>5000</v>
      </c>
      <c r="Y267" s="93">
        <v>0</v>
      </c>
      <c r="Z267" s="93">
        <v>0</v>
      </c>
      <c r="AA267" s="93">
        <v>0</v>
      </c>
    </row>
    <row r="268" spans="3:27" x14ac:dyDescent="0.35">
      <c r="C268" s="88" t="s">
        <v>213</v>
      </c>
      <c r="D268" s="93">
        <v>7730.1539000000002</v>
      </c>
      <c r="E268" s="93">
        <v>7730.1539000000002</v>
      </c>
      <c r="F268" s="93">
        <v>7730.1539000000002</v>
      </c>
      <c r="G268" s="93">
        <v>7730.1539000000002</v>
      </c>
      <c r="H268" s="93">
        <v>7730.1539000000002</v>
      </c>
      <c r="I268" s="93">
        <v>7730.1539000000002</v>
      </c>
      <c r="J268" s="93">
        <v>7730.1539000000002</v>
      </c>
      <c r="K268" s="93">
        <v>7730.1539000000002</v>
      </c>
      <c r="L268" s="93">
        <v>7730.1539000000002</v>
      </c>
      <c r="M268" s="93">
        <v>7730.1539000000002</v>
      </c>
      <c r="N268" s="93">
        <v>7730.1539000000002</v>
      </c>
      <c r="O268" s="93">
        <v>7730.1539000000002</v>
      </c>
      <c r="P268" s="93">
        <v>7730.1539000000002</v>
      </c>
      <c r="Q268" s="93">
        <v>7730.1539000000002</v>
      </c>
      <c r="R268" s="93">
        <v>7730.1539000000002</v>
      </c>
      <c r="S268" s="93">
        <v>7730.1539000000002</v>
      </c>
      <c r="T268" s="93">
        <v>7730.1539000000002</v>
      </c>
      <c r="U268" s="93">
        <v>7730.1539000000002</v>
      </c>
      <c r="V268" s="93">
        <v>7730.1539000000002</v>
      </c>
      <c r="W268" s="93">
        <v>7730.1539000000002</v>
      </c>
      <c r="X268" s="93">
        <v>4743.1931000000004</v>
      </c>
      <c r="Y268" s="93">
        <v>4743.1931000000004</v>
      </c>
      <c r="Z268" s="93">
        <v>4743.1931000000004</v>
      </c>
      <c r="AA268" s="93">
        <v>4743.1931000000004</v>
      </c>
    </row>
    <row r="269" spans="3:27" x14ac:dyDescent="0.35">
      <c r="C269" s="76" t="s">
        <v>214</v>
      </c>
      <c r="D269" s="93">
        <v>0</v>
      </c>
      <c r="E269" s="93">
        <v>0</v>
      </c>
      <c r="F269" s="93">
        <v>0</v>
      </c>
      <c r="G269" s="93">
        <v>0</v>
      </c>
      <c r="H269" s="93">
        <v>0</v>
      </c>
      <c r="I269" s="93">
        <v>0</v>
      </c>
      <c r="J269" s="93">
        <v>0</v>
      </c>
      <c r="K269" s="93">
        <v>0</v>
      </c>
      <c r="L269" s="93">
        <v>0</v>
      </c>
      <c r="M269" s="93">
        <v>0</v>
      </c>
      <c r="N269" s="93">
        <v>0</v>
      </c>
      <c r="O269" s="93">
        <v>0</v>
      </c>
      <c r="P269" s="93">
        <v>0</v>
      </c>
      <c r="Q269" s="93">
        <v>1</v>
      </c>
      <c r="R269" s="93">
        <v>0</v>
      </c>
      <c r="S269" s="93">
        <v>1</v>
      </c>
      <c r="T269" s="93">
        <v>0</v>
      </c>
      <c r="U269" s="93">
        <v>0</v>
      </c>
      <c r="V269" s="93">
        <v>0</v>
      </c>
      <c r="W269" s="93">
        <v>0</v>
      </c>
      <c r="X269" s="93">
        <v>0</v>
      </c>
      <c r="Y269" s="93">
        <v>0</v>
      </c>
      <c r="Z269" s="93">
        <v>0</v>
      </c>
      <c r="AA269" s="93">
        <v>0</v>
      </c>
    </row>
    <row r="270" spans="3:27" x14ac:dyDescent="0.35">
      <c r="C270" s="88" t="s">
        <v>215</v>
      </c>
      <c r="D270" s="93">
        <v>8</v>
      </c>
      <c r="E270" s="93">
        <v>8</v>
      </c>
      <c r="F270" s="93">
        <v>8</v>
      </c>
      <c r="G270" s="93">
        <v>8</v>
      </c>
      <c r="H270" s="93">
        <v>8</v>
      </c>
      <c r="I270" s="93">
        <v>8</v>
      </c>
      <c r="J270" s="93">
        <v>8</v>
      </c>
      <c r="K270" s="93">
        <v>8</v>
      </c>
      <c r="L270" s="93">
        <v>8</v>
      </c>
      <c r="M270" s="93">
        <v>8</v>
      </c>
      <c r="N270" s="93">
        <v>8</v>
      </c>
      <c r="O270" s="93">
        <v>8</v>
      </c>
      <c r="P270" s="93">
        <v>8</v>
      </c>
      <c r="Q270" s="93">
        <v>7</v>
      </c>
      <c r="R270" s="93">
        <v>7</v>
      </c>
      <c r="S270" s="93">
        <v>6</v>
      </c>
      <c r="T270" s="93">
        <v>6</v>
      </c>
      <c r="U270" s="93">
        <v>6</v>
      </c>
      <c r="V270" s="93">
        <v>6</v>
      </c>
      <c r="W270" s="93">
        <v>6</v>
      </c>
      <c r="X270" s="93">
        <v>6</v>
      </c>
      <c r="Y270" s="93">
        <v>6</v>
      </c>
      <c r="Z270" s="93">
        <v>6</v>
      </c>
      <c r="AA270" s="93">
        <v>6</v>
      </c>
    </row>
    <row r="271" spans="3:27" x14ac:dyDescent="0.35">
      <c r="C271" s="89" t="s">
        <v>216</v>
      </c>
      <c r="D271" s="95">
        <v>3000</v>
      </c>
      <c r="E271" s="93">
        <v>3000</v>
      </c>
      <c r="F271" s="93">
        <v>3000</v>
      </c>
      <c r="G271" s="93">
        <v>0</v>
      </c>
      <c r="H271" s="93">
        <v>3000</v>
      </c>
      <c r="I271" s="93">
        <v>3000</v>
      </c>
      <c r="J271" s="93">
        <v>3000</v>
      </c>
      <c r="K271" s="93">
        <v>3000</v>
      </c>
      <c r="L271" s="93">
        <v>3000</v>
      </c>
      <c r="M271" s="93">
        <v>3000</v>
      </c>
      <c r="N271" s="93">
        <v>3000</v>
      </c>
      <c r="O271" s="93">
        <v>3000</v>
      </c>
      <c r="P271" s="93">
        <v>3000</v>
      </c>
      <c r="Q271" s="93">
        <v>3000</v>
      </c>
      <c r="R271" s="93">
        <v>2175</v>
      </c>
      <c r="S271" s="93">
        <v>3000</v>
      </c>
      <c r="T271" s="93">
        <v>3000</v>
      </c>
      <c r="U271" s="93">
        <v>3000</v>
      </c>
      <c r="V271" s="93">
        <v>3000</v>
      </c>
      <c r="W271" s="93">
        <v>3000</v>
      </c>
      <c r="X271" s="93">
        <v>3000</v>
      </c>
      <c r="Y271" s="93">
        <v>3000</v>
      </c>
      <c r="Z271" s="93">
        <v>3000</v>
      </c>
      <c r="AA271" s="93">
        <v>3000</v>
      </c>
    </row>
    <row r="272" spans="3:27" x14ac:dyDescent="0.35">
      <c r="C272" s="89" t="s">
        <v>217</v>
      </c>
      <c r="D272" s="95">
        <v>1170</v>
      </c>
      <c r="E272" s="93">
        <v>1170</v>
      </c>
      <c r="F272" s="93">
        <v>1170</v>
      </c>
      <c r="G272" s="93">
        <v>1170</v>
      </c>
      <c r="H272" s="93">
        <v>1170</v>
      </c>
      <c r="I272" s="93">
        <v>1170</v>
      </c>
      <c r="J272" s="93">
        <v>1170</v>
      </c>
      <c r="K272" s="93">
        <v>1170</v>
      </c>
      <c r="L272" s="93">
        <v>1170</v>
      </c>
      <c r="M272" s="93">
        <v>1170</v>
      </c>
      <c r="N272" s="93">
        <v>1170</v>
      </c>
      <c r="O272" s="93">
        <v>1170</v>
      </c>
      <c r="P272" s="93">
        <v>1170</v>
      </c>
      <c r="Q272" s="93">
        <v>1170</v>
      </c>
      <c r="R272" s="93">
        <v>1170</v>
      </c>
      <c r="S272" s="93">
        <v>360</v>
      </c>
      <c r="T272" s="93">
        <v>1170</v>
      </c>
      <c r="U272" s="93">
        <v>1170</v>
      </c>
      <c r="V272" s="93">
        <v>1170</v>
      </c>
      <c r="W272" s="93">
        <v>1170</v>
      </c>
      <c r="X272" s="93">
        <v>1170</v>
      </c>
      <c r="Y272" s="93">
        <v>1170</v>
      </c>
      <c r="Z272" s="93">
        <v>1170</v>
      </c>
      <c r="AA272" s="93">
        <v>1170</v>
      </c>
    </row>
    <row r="273" spans="3:27" x14ac:dyDescent="0.35">
      <c r="C273" s="76" t="s">
        <v>218</v>
      </c>
      <c r="D273" s="93">
        <v>0</v>
      </c>
      <c r="E273" s="93">
        <v>0</v>
      </c>
      <c r="F273" s="93">
        <v>1211.5542</v>
      </c>
      <c r="G273" s="93">
        <v>0</v>
      </c>
      <c r="H273" s="93">
        <v>0</v>
      </c>
      <c r="I273" s="93">
        <v>0</v>
      </c>
      <c r="J273" s="93">
        <v>0</v>
      </c>
      <c r="K273" s="93">
        <v>0</v>
      </c>
      <c r="L273" s="93">
        <v>0</v>
      </c>
      <c r="M273" s="93">
        <v>0</v>
      </c>
      <c r="N273" s="93">
        <v>0</v>
      </c>
      <c r="O273" s="93">
        <v>0</v>
      </c>
      <c r="P273" s="93">
        <v>0</v>
      </c>
      <c r="Q273" s="93">
        <v>0</v>
      </c>
      <c r="R273" s="93">
        <v>0</v>
      </c>
      <c r="S273" s="93">
        <v>0</v>
      </c>
      <c r="T273" s="93">
        <v>0</v>
      </c>
      <c r="U273" s="93">
        <v>2488.4458</v>
      </c>
      <c r="V273" s="93">
        <v>21.033950000000001</v>
      </c>
      <c r="W273" s="93">
        <v>21.033950000000001</v>
      </c>
      <c r="X273" s="93">
        <v>3657.9321</v>
      </c>
      <c r="Y273" s="93">
        <v>0</v>
      </c>
      <c r="Z273" s="93">
        <v>0</v>
      </c>
      <c r="AA273" s="93">
        <v>0</v>
      </c>
    </row>
    <row r="274" spans="3:27" x14ac:dyDescent="0.35">
      <c r="C274" s="88" t="s">
        <v>219</v>
      </c>
      <c r="D274" s="95">
        <v>6000</v>
      </c>
      <c r="E274" s="93">
        <v>6000</v>
      </c>
      <c r="F274" s="93">
        <v>4788.4458000000004</v>
      </c>
      <c r="G274" s="93">
        <v>4788.4458000000004</v>
      </c>
      <c r="H274" s="93">
        <v>4788.4458000000004</v>
      </c>
      <c r="I274" s="93">
        <v>4788.4458000000004</v>
      </c>
      <c r="J274" s="93">
        <v>4788.4458000000004</v>
      </c>
      <c r="K274" s="93">
        <v>4788.4458000000004</v>
      </c>
      <c r="L274" s="93">
        <v>4788.4458000000004</v>
      </c>
      <c r="M274" s="93">
        <v>4788.4458000000004</v>
      </c>
      <c r="N274" s="93">
        <v>4788.4458000000004</v>
      </c>
      <c r="O274" s="93">
        <v>4788.4458000000004</v>
      </c>
      <c r="P274" s="93">
        <v>4788.4458000000004</v>
      </c>
      <c r="Q274" s="93">
        <v>4788.4458000000004</v>
      </c>
      <c r="R274" s="93">
        <v>4788.4458000000004</v>
      </c>
      <c r="S274" s="93">
        <v>4788.4458000000004</v>
      </c>
      <c r="T274" s="93">
        <v>4788.4458000000004</v>
      </c>
      <c r="U274" s="93">
        <v>2300</v>
      </c>
      <c r="V274" s="93">
        <v>2321.0340000000001</v>
      </c>
      <c r="W274" s="93">
        <v>2300</v>
      </c>
      <c r="X274" s="93">
        <v>5957.9321</v>
      </c>
      <c r="Y274" s="93">
        <v>5957.9321</v>
      </c>
      <c r="Z274" s="93">
        <v>5957.9321</v>
      </c>
      <c r="AA274" s="93">
        <v>5957.9321</v>
      </c>
    </row>
    <row r="275" spans="3:27" x14ac:dyDescent="0.35">
      <c r="C275" s="89" t="s">
        <v>184</v>
      </c>
      <c r="D275" s="95">
        <v>10000</v>
      </c>
      <c r="E275" s="95">
        <v>10000</v>
      </c>
      <c r="F275" s="95">
        <v>10000</v>
      </c>
      <c r="G275" s="95">
        <v>10000</v>
      </c>
      <c r="H275" s="95">
        <v>10000</v>
      </c>
      <c r="I275" s="95">
        <v>10000</v>
      </c>
      <c r="J275" s="95">
        <v>10000</v>
      </c>
      <c r="K275" s="95">
        <v>10000</v>
      </c>
      <c r="L275" s="95">
        <v>10000</v>
      </c>
      <c r="M275" s="95">
        <v>10000</v>
      </c>
      <c r="N275" s="95">
        <v>0</v>
      </c>
      <c r="O275" s="95">
        <v>10000</v>
      </c>
      <c r="P275" s="95">
        <v>10000</v>
      </c>
      <c r="Q275" s="95">
        <v>10000</v>
      </c>
      <c r="R275" s="95">
        <v>10000</v>
      </c>
      <c r="S275" s="95">
        <v>10000</v>
      </c>
      <c r="T275" s="95">
        <v>10000</v>
      </c>
      <c r="U275" s="95">
        <v>10000</v>
      </c>
      <c r="V275" s="95">
        <v>0</v>
      </c>
      <c r="W275" s="95">
        <v>10000</v>
      </c>
      <c r="X275" s="95">
        <v>10000</v>
      </c>
      <c r="Y275" s="95">
        <v>4752.25</v>
      </c>
      <c r="Z275" s="95">
        <v>10000</v>
      </c>
      <c r="AA275" s="95">
        <v>0</v>
      </c>
    </row>
    <row r="276" spans="3:27" x14ac:dyDescent="0.35">
      <c r="C276" s="76" t="s">
        <v>220</v>
      </c>
      <c r="D276" s="95">
        <v>1</v>
      </c>
      <c r="E276" s="93">
        <v>1</v>
      </c>
      <c r="F276" s="93">
        <v>1</v>
      </c>
      <c r="G276" s="93">
        <v>1</v>
      </c>
      <c r="H276" s="93">
        <v>1</v>
      </c>
      <c r="I276" s="93">
        <v>1</v>
      </c>
      <c r="J276" s="93">
        <v>1</v>
      </c>
      <c r="K276" s="93">
        <v>1</v>
      </c>
      <c r="L276" s="93">
        <v>1</v>
      </c>
      <c r="M276" s="93">
        <v>1</v>
      </c>
      <c r="N276" s="93">
        <v>1</v>
      </c>
      <c r="O276" s="93">
        <v>1</v>
      </c>
      <c r="P276" s="93">
        <v>1</v>
      </c>
      <c r="Q276" s="93">
        <v>1</v>
      </c>
      <c r="R276" s="93">
        <v>1</v>
      </c>
      <c r="S276" s="93">
        <v>1</v>
      </c>
      <c r="T276" s="93">
        <v>1</v>
      </c>
      <c r="U276" s="93">
        <v>1</v>
      </c>
      <c r="V276" s="93">
        <v>1</v>
      </c>
      <c r="W276" s="93">
        <v>1</v>
      </c>
      <c r="X276" s="93">
        <v>1</v>
      </c>
      <c r="Y276" s="93">
        <v>1</v>
      </c>
      <c r="Z276" s="93">
        <v>1</v>
      </c>
      <c r="AA276" s="93">
        <v>1</v>
      </c>
    </row>
    <row r="277" spans="3:27" x14ac:dyDescent="0.35">
      <c r="C277" s="76" t="s">
        <v>221</v>
      </c>
      <c r="D277" s="93">
        <v>0</v>
      </c>
      <c r="E277" s="93">
        <v>0</v>
      </c>
      <c r="F277" s="93">
        <v>0</v>
      </c>
      <c r="G277" s="93">
        <v>0</v>
      </c>
      <c r="H277" s="93">
        <v>0</v>
      </c>
      <c r="I277" s="93">
        <v>0</v>
      </c>
      <c r="J277" s="93">
        <v>0</v>
      </c>
      <c r="K277" s="93">
        <v>0</v>
      </c>
      <c r="L277" s="93">
        <v>0</v>
      </c>
      <c r="M277" s="93">
        <v>0</v>
      </c>
      <c r="N277" s="93">
        <v>0</v>
      </c>
      <c r="O277" s="93">
        <v>0</v>
      </c>
      <c r="P277" s="93">
        <v>0</v>
      </c>
      <c r="Q277" s="93">
        <v>149.81995000000001</v>
      </c>
      <c r="R277" s="93">
        <v>0</v>
      </c>
      <c r="S277" s="93">
        <v>0</v>
      </c>
      <c r="T277" s="93">
        <v>0</v>
      </c>
      <c r="U277" s="93">
        <v>0</v>
      </c>
      <c r="V277" s="93">
        <v>0</v>
      </c>
      <c r="W277" s="93">
        <v>6850.1800999999996</v>
      </c>
      <c r="X277" s="93">
        <v>0</v>
      </c>
      <c r="Y277" s="93">
        <v>0</v>
      </c>
      <c r="Z277" s="93">
        <v>0</v>
      </c>
      <c r="AA277" s="93">
        <v>0</v>
      </c>
    </row>
    <row r="278" spans="3:27" x14ac:dyDescent="0.35">
      <c r="C278" s="88" t="s">
        <v>222</v>
      </c>
      <c r="D278" s="93">
        <v>8112.1904000000004</v>
      </c>
      <c r="E278" s="93">
        <v>8112.1904000000004</v>
      </c>
      <c r="F278" s="93">
        <v>8112.1904000000004</v>
      </c>
      <c r="G278" s="93">
        <v>8112.1904000000004</v>
      </c>
      <c r="H278" s="93">
        <v>8112.1904000000004</v>
      </c>
      <c r="I278" s="93">
        <v>8112.1904000000004</v>
      </c>
      <c r="J278" s="93">
        <v>8112.1904000000004</v>
      </c>
      <c r="K278" s="93">
        <v>8112.1904000000004</v>
      </c>
      <c r="L278" s="93">
        <v>8112.1904000000004</v>
      </c>
      <c r="M278" s="93">
        <v>8112.1904000000004</v>
      </c>
      <c r="N278" s="93">
        <v>8112.1904000000004</v>
      </c>
      <c r="O278" s="93">
        <v>8112.1904000000004</v>
      </c>
      <c r="P278" s="93">
        <v>8112.1904000000004</v>
      </c>
      <c r="Q278" s="93">
        <v>7962.3703999999998</v>
      </c>
      <c r="R278" s="93">
        <v>7962.3703999999998</v>
      </c>
      <c r="S278" s="93">
        <v>7962.3703999999998</v>
      </c>
      <c r="T278" s="93">
        <v>7962.3703999999998</v>
      </c>
      <c r="U278" s="93">
        <v>7962.3703999999998</v>
      </c>
      <c r="V278" s="93">
        <v>7962.3703999999998</v>
      </c>
      <c r="W278" s="93">
        <v>14812.55</v>
      </c>
      <c r="X278" s="93">
        <v>14812.55</v>
      </c>
      <c r="Y278" s="93">
        <v>14812.55</v>
      </c>
      <c r="Z278" s="93">
        <v>14812.55</v>
      </c>
      <c r="AA278" s="93">
        <v>14812.55</v>
      </c>
    </row>
    <row r="279" spans="3:27" x14ac:dyDescent="0.35">
      <c r="C279" s="76" t="s">
        <v>223</v>
      </c>
      <c r="D279" s="93">
        <v>591.39</v>
      </c>
      <c r="E279" s="93">
        <v>0</v>
      </c>
      <c r="F279" s="93">
        <v>0</v>
      </c>
      <c r="G279" s="93">
        <v>0</v>
      </c>
      <c r="H279" s="93">
        <v>0</v>
      </c>
      <c r="I279" s="93">
        <v>0</v>
      </c>
      <c r="J279" s="93">
        <v>0</v>
      </c>
      <c r="K279" s="93">
        <v>0</v>
      </c>
      <c r="L279" s="93">
        <v>0</v>
      </c>
      <c r="M279" s="93">
        <v>0</v>
      </c>
      <c r="N279" s="93">
        <v>0</v>
      </c>
      <c r="O279" s="93">
        <v>0</v>
      </c>
      <c r="P279" s="93">
        <v>0</v>
      </c>
      <c r="Q279" s="93">
        <v>0</v>
      </c>
      <c r="R279" s="93">
        <v>0</v>
      </c>
      <c r="S279" s="93">
        <v>0</v>
      </c>
      <c r="T279" s="93">
        <v>2795.6950000000002</v>
      </c>
      <c r="U279" s="93">
        <v>0</v>
      </c>
      <c r="V279" s="93">
        <v>0</v>
      </c>
      <c r="W279" s="93">
        <v>0</v>
      </c>
      <c r="X279" s="93">
        <v>0</v>
      </c>
      <c r="Y279" s="93">
        <v>0</v>
      </c>
      <c r="Z279" s="93">
        <v>2204.3049999999998</v>
      </c>
      <c r="AA279" s="93">
        <v>0</v>
      </c>
    </row>
    <row r="280" spans="3:27" x14ac:dyDescent="0.35">
      <c r="C280" s="76" t="s">
        <v>224</v>
      </c>
      <c r="D280" s="93">
        <v>33500</v>
      </c>
      <c r="E280" s="93">
        <v>33500</v>
      </c>
      <c r="F280" s="93">
        <v>33500</v>
      </c>
      <c r="G280" s="93">
        <v>33500</v>
      </c>
      <c r="H280" s="93">
        <v>33500</v>
      </c>
      <c r="I280" s="93">
        <v>33500</v>
      </c>
      <c r="J280" s="93">
        <v>33500</v>
      </c>
      <c r="K280" s="93">
        <v>33500</v>
      </c>
      <c r="L280" s="93">
        <v>33500</v>
      </c>
      <c r="M280" s="93">
        <v>33500</v>
      </c>
      <c r="N280" s="93">
        <v>33500</v>
      </c>
      <c r="O280" s="93">
        <v>33500</v>
      </c>
      <c r="P280" s="93">
        <v>33500</v>
      </c>
      <c r="Q280" s="93">
        <v>33500</v>
      </c>
      <c r="R280" s="93">
        <v>33500</v>
      </c>
      <c r="S280" s="93">
        <v>33500</v>
      </c>
      <c r="T280" s="93">
        <v>30704.305</v>
      </c>
      <c r="U280" s="93">
        <v>30704.305</v>
      </c>
      <c r="V280" s="93">
        <v>30704.305</v>
      </c>
      <c r="W280" s="93">
        <v>30704.305</v>
      </c>
      <c r="X280" s="93">
        <v>30704.305</v>
      </c>
      <c r="Y280" s="93">
        <v>30704.305</v>
      </c>
      <c r="Z280" s="93">
        <v>32908.61</v>
      </c>
      <c r="AA280" s="93">
        <v>32908.61</v>
      </c>
    </row>
    <row r="281" spans="3:27" x14ac:dyDescent="0.35">
      <c r="C281" s="76" t="s">
        <v>225</v>
      </c>
      <c r="D281" s="93">
        <v>0</v>
      </c>
      <c r="E281" s="93">
        <v>0</v>
      </c>
      <c r="F281" s="93">
        <v>0</v>
      </c>
      <c r="G281" s="93">
        <v>0</v>
      </c>
      <c r="H281" s="93">
        <v>0</v>
      </c>
      <c r="I281" s="93">
        <v>0</v>
      </c>
      <c r="J281" s="93">
        <v>0</v>
      </c>
      <c r="K281" s="93">
        <v>0</v>
      </c>
      <c r="L281" s="93">
        <v>0</v>
      </c>
      <c r="M281" s="93">
        <v>0</v>
      </c>
      <c r="N281" s="93">
        <v>0</v>
      </c>
      <c r="O281" s="93">
        <v>0</v>
      </c>
      <c r="P281" s="93">
        <v>0</v>
      </c>
      <c r="Q281" s="93">
        <v>0</v>
      </c>
      <c r="R281" s="93">
        <v>0</v>
      </c>
      <c r="S281" s="93">
        <v>0</v>
      </c>
      <c r="T281" s="93">
        <v>0</v>
      </c>
      <c r="U281" s="93">
        <v>0</v>
      </c>
      <c r="V281" s="93">
        <v>0</v>
      </c>
      <c r="W281" s="93">
        <v>0</v>
      </c>
      <c r="X281" s="93">
        <v>0</v>
      </c>
      <c r="Y281" s="93">
        <v>0</v>
      </c>
      <c r="Z281" s="93">
        <v>0</v>
      </c>
      <c r="AA281" s="93">
        <v>0</v>
      </c>
    </row>
    <row r="282" spans="3:27" x14ac:dyDescent="0.35">
      <c r="C282" s="88" t="s">
        <v>226</v>
      </c>
      <c r="D282" s="93">
        <v>0</v>
      </c>
      <c r="E282" s="93">
        <v>0</v>
      </c>
      <c r="F282" s="93">
        <v>0</v>
      </c>
      <c r="G282" s="93">
        <v>0</v>
      </c>
      <c r="H282" s="93">
        <v>0</v>
      </c>
      <c r="I282" s="93">
        <v>0</v>
      </c>
      <c r="J282" s="93">
        <v>0</v>
      </c>
      <c r="K282" s="93">
        <v>0</v>
      </c>
      <c r="L282" s="93">
        <v>0</v>
      </c>
      <c r="M282" s="93">
        <v>0</v>
      </c>
      <c r="N282" s="93">
        <v>0</v>
      </c>
      <c r="O282" s="93">
        <v>0</v>
      </c>
      <c r="P282" s="93">
        <v>0</v>
      </c>
      <c r="Q282" s="93">
        <v>0</v>
      </c>
      <c r="R282" s="93">
        <v>0</v>
      </c>
      <c r="S282" s="93">
        <v>0</v>
      </c>
      <c r="T282" s="93">
        <v>0</v>
      </c>
      <c r="U282" s="93">
        <v>0</v>
      </c>
      <c r="V282" s="93">
        <v>0</v>
      </c>
      <c r="W282" s="93">
        <v>0</v>
      </c>
      <c r="X282" s="93">
        <v>0</v>
      </c>
      <c r="Y282" s="93">
        <v>0</v>
      </c>
      <c r="Z282" s="93">
        <v>0</v>
      </c>
      <c r="AA282" s="93">
        <v>0</v>
      </c>
    </row>
    <row r="283" spans="3:27" x14ac:dyDescent="0.35">
      <c r="C283" s="76" t="s">
        <v>227</v>
      </c>
      <c r="D283" s="93">
        <v>0</v>
      </c>
      <c r="E283" s="93">
        <v>0</v>
      </c>
      <c r="F283" s="93">
        <v>0</v>
      </c>
      <c r="G283" s="93">
        <v>0</v>
      </c>
      <c r="H283" s="93">
        <v>0</v>
      </c>
      <c r="I283" s="93">
        <v>0</v>
      </c>
      <c r="J283" s="93">
        <v>0</v>
      </c>
      <c r="K283" s="93">
        <v>0</v>
      </c>
      <c r="L283" s="93">
        <v>0</v>
      </c>
      <c r="M283" s="93">
        <v>0</v>
      </c>
      <c r="N283" s="93">
        <v>0</v>
      </c>
      <c r="O283" s="93">
        <v>0</v>
      </c>
      <c r="P283" s="93">
        <v>0</v>
      </c>
      <c r="Q283" s="93">
        <v>0</v>
      </c>
      <c r="R283" s="93">
        <v>0</v>
      </c>
      <c r="S283" s="93">
        <v>3581.55</v>
      </c>
      <c r="T283" s="93">
        <v>1418.45</v>
      </c>
      <c r="U283" s="93">
        <v>0</v>
      </c>
      <c r="V283" s="93">
        <v>0</v>
      </c>
      <c r="W283" s="93">
        <v>0</v>
      </c>
      <c r="X283" s="93">
        <v>0</v>
      </c>
      <c r="Y283" s="93">
        <v>0</v>
      </c>
      <c r="Z283" s="93">
        <v>5000</v>
      </c>
      <c r="AA283" s="93">
        <v>0</v>
      </c>
    </row>
    <row r="284" spans="3:27" x14ac:dyDescent="0.35">
      <c r="C284" s="76" t="s">
        <v>228</v>
      </c>
      <c r="D284" s="93">
        <v>28406</v>
      </c>
      <c r="E284" s="93">
        <v>28406</v>
      </c>
      <c r="F284" s="93">
        <v>28406</v>
      </c>
      <c r="G284" s="93">
        <v>28406</v>
      </c>
      <c r="H284" s="93">
        <v>28406</v>
      </c>
      <c r="I284" s="93">
        <v>28406</v>
      </c>
      <c r="J284" s="93">
        <v>28406</v>
      </c>
      <c r="K284" s="93">
        <v>28406</v>
      </c>
      <c r="L284" s="93">
        <v>28406</v>
      </c>
      <c r="M284" s="93">
        <v>28406</v>
      </c>
      <c r="N284" s="93">
        <v>28406</v>
      </c>
      <c r="O284" s="93">
        <v>28406</v>
      </c>
      <c r="P284" s="93">
        <v>28406</v>
      </c>
      <c r="Q284" s="93">
        <v>28406</v>
      </c>
      <c r="R284" s="93">
        <v>28406</v>
      </c>
      <c r="S284" s="93">
        <v>24824.45</v>
      </c>
      <c r="T284" s="93">
        <v>23406</v>
      </c>
      <c r="U284" s="93">
        <v>23406</v>
      </c>
      <c r="V284" s="93">
        <v>23406</v>
      </c>
      <c r="W284" s="93">
        <v>23406</v>
      </c>
      <c r="X284" s="93">
        <v>23406</v>
      </c>
      <c r="Y284" s="93">
        <v>23406</v>
      </c>
      <c r="Z284" s="93">
        <v>28406</v>
      </c>
      <c r="AA284" s="93">
        <v>28406</v>
      </c>
    </row>
    <row r="285" spans="3:27" x14ac:dyDescent="0.35">
      <c r="C285" s="76" t="s">
        <v>229</v>
      </c>
      <c r="D285" s="93">
        <v>0</v>
      </c>
      <c r="E285" s="93">
        <v>0</v>
      </c>
      <c r="F285" s="93">
        <v>3000</v>
      </c>
      <c r="G285" s="93">
        <v>0</v>
      </c>
      <c r="H285" s="93">
        <v>0</v>
      </c>
      <c r="I285" s="93">
        <v>0</v>
      </c>
      <c r="J285" s="93">
        <v>0</v>
      </c>
      <c r="K285" s="93">
        <v>0</v>
      </c>
      <c r="L285" s="93">
        <v>0</v>
      </c>
      <c r="M285" s="93">
        <v>0</v>
      </c>
      <c r="N285" s="93">
        <v>0</v>
      </c>
      <c r="O285" s="93">
        <v>0</v>
      </c>
      <c r="P285" s="93">
        <v>0</v>
      </c>
      <c r="Q285" s="93">
        <v>0</v>
      </c>
      <c r="R285" s="93">
        <v>0</v>
      </c>
      <c r="S285" s="93">
        <v>0</v>
      </c>
      <c r="T285" s="93">
        <v>0</v>
      </c>
      <c r="U285" s="93">
        <v>0</v>
      </c>
      <c r="V285" s="93">
        <v>0</v>
      </c>
      <c r="W285" s="93">
        <v>0</v>
      </c>
      <c r="X285" s="93">
        <v>0</v>
      </c>
      <c r="Y285" s="93">
        <v>0</v>
      </c>
      <c r="Z285" s="93">
        <v>0</v>
      </c>
      <c r="AA285" s="93">
        <v>0</v>
      </c>
    </row>
    <row r="286" spans="3:27" x14ac:dyDescent="0.35">
      <c r="C286" s="76" t="s">
        <v>230</v>
      </c>
      <c r="D286" s="93">
        <v>3000</v>
      </c>
      <c r="E286" s="93">
        <v>3000</v>
      </c>
      <c r="F286" s="93">
        <v>3000</v>
      </c>
      <c r="G286" s="93">
        <v>3000</v>
      </c>
      <c r="H286" s="93">
        <v>3000</v>
      </c>
      <c r="I286" s="93">
        <v>3000</v>
      </c>
      <c r="J286" s="93">
        <v>3000</v>
      </c>
      <c r="K286" s="93">
        <v>3000</v>
      </c>
      <c r="L286" s="93">
        <v>3000</v>
      </c>
      <c r="M286" s="93">
        <v>3000</v>
      </c>
      <c r="N286" s="93">
        <v>3000</v>
      </c>
      <c r="O286" s="93">
        <v>3000</v>
      </c>
      <c r="P286" s="93">
        <v>3000</v>
      </c>
      <c r="Q286" s="93">
        <v>3000</v>
      </c>
      <c r="R286" s="93">
        <v>3000</v>
      </c>
      <c r="S286" s="93">
        <v>3000</v>
      </c>
      <c r="T286" s="93">
        <v>3000</v>
      </c>
      <c r="U286" s="93">
        <v>3000</v>
      </c>
      <c r="V286" s="93">
        <v>3000</v>
      </c>
      <c r="W286" s="93">
        <v>3000</v>
      </c>
      <c r="X286" s="93">
        <v>3000</v>
      </c>
      <c r="Y286" s="93">
        <v>3000</v>
      </c>
      <c r="Z286" s="93">
        <v>3000</v>
      </c>
      <c r="AA286" s="93">
        <v>3000</v>
      </c>
    </row>
    <row r="287" spans="3:27" x14ac:dyDescent="0.35">
      <c r="C287" s="76" t="s">
        <v>231</v>
      </c>
      <c r="D287" s="93">
        <v>814.60397999999998</v>
      </c>
      <c r="E287" s="93">
        <v>0</v>
      </c>
      <c r="F287" s="93">
        <v>0</v>
      </c>
      <c r="G287" s="93">
        <v>792.77643999999998</v>
      </c>
      <c r="H287" s="93">
        <v>1.7462036000000001</v>
      </c>
      <c r="I287" s="93">
        <v>135.33078</v>
      </c>
      <c r="J287" s="93">
        <v>323.92077</v>
      </c>
      <c r="K287" s="93">
        <v>167.63554999999999</v>
      </c>
      <c r="L287" s="93">
        <v>6888.2651999999998</v>
      </c>
      <c r="M287" s="93">
        <v>112.63012999999999</v>
      </c>
      <c r="N287" s="93">
        <v>116.99563999999999</v>
      </c>
      <c r="O287" s="93">
        <v>54.132311999999999</v>
      </c>
      <c r="P287" s="93">
        <v>95.168097000000003</v>
      </c>
      <c r="Q287" s="93">
        <v>21.827545000000001</v>
      </c>
      <c r="R287" s="93">
        <v>1.7462036000000001</v>
      </c>
      <c r="S287" s="93">
        <v>4.3655090000000003</v>
      </c>
      <c r="T287" s="93">
        <v>54.132311999999999</v>
      </c>
      <c r="U287" s="93">
        <v>36.670276000000001</v>
      </c>
      <c r="V287" s="93">
        <v>13.969628999999999</v>
      </c>
      <c r="W287" s="93">
        <v>62.863329999999998</v>
      </c>
      <c r="X287" s="93">
        <v>36.670276000000001</v>
      </c>
      <c r="Y287" s="93">
        <v>108.26461999999999</v>
      </c>
      <c r="Z287" s="93">
        <v>48.893701</v>
      </c>
      <c r="AA287" s="93">
        <v>107.39152</v>
      </c>
    </row>
    <row r="288" spans="3:27" x14ac:dyDescent="0.35">
      <c r="C288" s="76" t="s">
        <v>232</v>
      </c>
      <c r="D288" s="93">
        <v>0</v>
      </c>
      <c r="E288" s="93">
        <v>0</v>
      </c>
      <c r="F288" s="93">
        <v>0</v>
      </c>
      <c r="G288" s="93">
        <v>792.77643999999998</v>
      </c>
      <c r="H288" s="93">
        <v>791.03024000000005</v>
      </c>
      <c r="I288" s="93">
        <v>926.36102000000005</v>
      </c>
      <c r="J288" s="93">
        <v>1250.2818</v>
      </c>
      <c r="K288" s="93">
        <v>1417.9173000000001</v>
      </c>
      <c r="L288" s="93">
        <v>1419.6635000000001</v>
      </c>
      <c r="M288" s="93">
        <v>1307.0334</v>
      </c>
      <c r="N288" s="93">
        <v>1190.0378000000001</v>
      </c>
      <c r="O288" s="93">
        <v>1135.9054000000001</v>
      </c>
      <c r="P288" s="93">
        <v>1040.7374</v>
      </c>
      <c r="Q288" s="93">
        <v>1062.5649000000001</v>
      </c>
      <c r="R288" s="93">
        <v>1064.3110999999999</v>
      </c>
      <c r="S288" s="93">
        <v>1059.9456</v>
      </c>
      <c r="T288" s="93">
        <v>1005.8133</v>
      </c>
      <c r="U288" s="93">
        <v>969.14300000000003</v>
      </c>
      <c r="V288" s="93">
        <v>955.17337999999995</v>
      </c>
      <c r="W288" s="93">
        <v>1018.0367</v>
      </c>
      <c r="X288" s="93">
        <v>981.36643000000004</v>
      </c>
      <c r="Y288" s="93">
        <v>873.10181</v>
      </c>
      <c r="Z288" s="93">
        <v>921.99550999999997</v>
      </c>
      <c r="AA288" s="93">
        <v>814.60397999999998</v>
      </c>
    </row>
    <row r="289" spans="3:27" x14ac:dyDescent="0.35">
      <c r="C289" s="76" t="s">
        <v>233</v>
      </c>
      <c r="D289" s="93">
        <v>572.10211000000004</v>
      </c>
      <c r="E289" s="93">
        <v>909</v>
      </c>
      <c r="F289" s="93">
        <v>0</v>
      </c>
      <c r="G289" s="93">
        <v>0</v>
      </c>
      <c r="H289" s="93">
        <v>0</v>
      </c>
      <c r="I289" s="93">
        <v>409.80106000000001</v>
      </c>
      <c r="J289" s="93">
        <v>0</v>
      </c>
      <c r="K289" s="93">
        <v>68.096830999999995</v>
      </c>
      <c r="L289" s="93">
        <v>0</v>
      </c>
      <c r="M289" s="93">
        <v>0</v>
      </c>
      <c r="N289" s="93">
        <v>477.89789000000002</v>
      </c>
      <c r="O289" s="93">
        <v>0</v>
      </c>
      <c r="P289" s="93">
        <v>0</v>
      </c>
      <c r="Q289" s="93">
        <v>2700</v>
      </c>
      <c r="R289" s="93">
        <v>0</v>
      </c>
      <c r="S289" s="93">
        <v>0</v>
      </c>
      <c r="T289" s="93">
        <v>0</v>
      </c>
      <c r="U289" s="93">
        <v>0</v>
      </c>
      <c r="V289" s="93">
        <v>0</v>
      </c>
      <c r="W289" s="93">
        <v>0</v>
      </c>
      <c r="X289" s="93">
        <v>0</v>
      </c>
      <c r="Y289" s="93">
        <v>0</v>
      </c>
      <c r="Z289" s="93">
        <v>2363.1021000000001</v>
      </c>
      <c r="AA289" s="93">
        <v>0</v>
      </c>
    </row>
    <row r="290" spans="3:27" x14ac:dyDescent="0.35">
      <c r="C290" s="88" t="s">
        <v>234</v>
      </c>
      <c r="D290" s="93">
        <v>1791</v>
      </c>
      <c r="E290" s="93">
        <v>2700</v>
      </c>
      <c r="F290" s="93">
        <v>2700</v>
      </c>
      <c r="G290" s="93">
        <v>2700</v>
      </c>
      <c r="H290" s="93">
        <v>2700</v>
      </c>
      <c r="I290" s="93">
        <v>3109.8011000000001</v>
      </c>
      <c r="J290" s="93">
        <v>3109.8011000000001</v>
      </c>
      <c r="K290" s="93">
        <v>3177.8978999999999</v>
      </c>
      <c r="L290" s="93">
        <v>3177.8978999999999</v>
      </c>
      <c r="M290" s="93">
        <v>3177.8978999999999</v>
      </c>
      <c r="N290" s="93">
        <v>2700</v>
      </c>
      <c r="O290" s="93">
        <v>2700</v>
      </c>
      <c r="P290" s="93">
        <v>2700</v>
      </c>
      <c r="Q290" s="93">
        <v>0</v>
      </c>
      <c r="R290" s="93">
        <v>0</v>
      </c>
      <c r="S290" s="93">
        <v>0</v>
      </c>
      <c r="T290" s="93">
        <v>0</v>
      </c>
      <c r="U290" s="93">
        <v>0</v>
      </c>
      <c r="V290" s="93">
        <v>0</v>
      </c>
      <c r="W290" s="93">
        <v>0</v>
      </c>
      <c r="X290" s="93">
        <v>0</v>
      </c>
      <c r="Y290" s="93">
        <v>0</v>
      </c>
      <c r="Z290" s="93">
        <v>2363.1021000000001</v>
      </c>
      <c r="AA290" s="93">
        <v>2363.1021000000001</v>
      </c>
    </row>
    <row r="291" spans="3:27" x14ac:dyDescent="0.35">
      <c r="C291" s="76" t="s">
        <v>235</v>
      </c>
      <c r="D291" s="93">
        <v>0</v>
      </c>
      <c r="E291" s="93">
        <v>0</v>
      </c>
      <c r="F291" s="93">
        <v>0</v>
      </c>
      <c r="G291" s="93">
        <v>0</v>
      </c>
      <c r="H291" s="93">
        <v>0</v>
      </c>
      <c r="I291" s="93">
        <v>0</v>
      </c>
      <c r="J291" s="93">
        <v>0</v>
      </c>
      <c r="K291" s="93">
        <v>0</v>
      </c>
      <c r="L291" s="93">
        <v>0</v>
      </c>
      <c r="M291" s="93">
        <v>0</v>
      </c>
      <c r="N291" s="93">
        <v>0</v>
      </c>
      <c r="O291" s="93">
        <v>0</v>
      </c>
      <c r="P291" s="93">
        <v>0</v>
      </c>
      <c r="Q291" s="93">
        <v>2364.75</v>
      </c>
      <c r="R291" s="93">
        <v>0</v>
      </c>
      <c r="S291" s="93">
        <v>335.25</v>
      </c>
      <c r="T291" s="93">
        <v>0</v>
      </c>
      <c r="U291" s="93">
        <v>0</v>
      </c>
      <c r="V291" s="93">
        <v>0</v>
      </c>
      <c r="W291" s="93">
        <v>0</v>
      </c>
      <c r="X291" s="93">
        <v>0</v>
      </c>
      <c r="Y291" s="93">
        <v>0</v>
      </c>
      <c r="Z291" s="93">
        <v>2700</v>
      </c>
      <c r="AA291" s="93">
        <v>0</v>
      </c>
    </row>
    <row r="292" spans="3:27" x14ac:dyDescent="0.35">
      <c r="C292" s="88" t="s">
        <v>236</v>
      </c>
      <c r="D292" s="93">
        <v>2700</v>
      </c>
      <c r="E292" s="93">
        <v>2700</v>
      </c>
      <c r="F292" s="93">
        <v>2700</v>
      </c>
      <c r="G292" s="93">
        <v>2700</v>
      </c>
      <c r="H292" s="93">
        <v>2700</v>
      </c>
      <c r="I292" s="93">
        <v>2700</v>
      </c>
      <c r="J292" s="93">
        <v>2700</v>
      </c>
      <c r="K292" s="93">
        <v>2700</v>
      </c>
      <c r="L292" s="93">
        <v>2700</v>
      </c>
      <c r="M292" s="93">
        <v>2700</v>
      </c>
      <c r="N292" s="93">
        <v>2700</v>
      </c>
      <c r="O292" s="93">
        <v>2700</v>
      </c>
      <c r="P292" s="93">
        <v>2700</v>
      </c>
      <c r="Q292" s="93">
        <v>335.25</v>
      </c>
      <c r="R292" s="93">
        <v>335.25</v>
      </c>
      <c r="S292" s="93">
        <v>0</v>
      </c>
      <c r="T292" s="93">
        <v>0</v>
      </c>
      <c r="U292" s="93">
        <v>0</v>
      </c>
      <c r="V292" s="93">
        <v>0</v>
      </c>
      <c r="W292" s="93">
        <v>0</v>
      </c>
      <c r="X292" s="93">
        <v>0</v>
      </c>
      <c r="Y292" s="93">
        <v>0</v>
      </c>
      <c r="Z292" s="93">
        <v>2700</v>
      </c>
      <c r="AA292" s="93">
        <v>2700</v>
      </c>
    </row>
    <row r="293" spans="3:27" x14ac:dyDescent="0.35">
      <c r="C293" s="76" t="s">
        <v>237</v>
      </c>
      <c r="D293" s="93">
        <v>0</v>
      </c>
      <c r="E293" s="93">
        <v>195.99646999999999</v>
      </c>
      <c r="F293" s="93">
        <v>0</v>
      </c>
      <c r="G293" s="93">
        <v>0</v>
      </c>
      <c r="H293" s="93">
        <v>0</v>
      </c>
      <c r="I293" s="93">
        <v>0</v>
      </c>
      <c r="J293" s="93">
        <v>0</v>
      </c>
      <c r="K293" s="93">
        <v>0</v>
      </c>
      <c r="L293" s="93">
        <v>0</v>
      </c>
      <c r="M293" s="93">
        <v>0</v>
      </c>
      <c r="N293" s="93">
        <v>0</v>
      </c>
      <c r="O293" s="93">
        <v>0</v>
      </c>
      <c r="P293" s="93">
        <v>0</v>
      </c>
      <c r="Q293" s="93">
        <v>2700</v>
      </c>
      <c r="R293" s="93">
        <v>0</v>
      </c>
      <c r="S293" s="93">
        <v>0</v>
      </c>
      <c r="T293" s="93">
        <v>0</v>
      </c>
      <c r="U293" s="93">
        <v>0</v>
      </c>
      <c r="V293" s="93">
        <v>0</v>
      </c>
      <c r="W293" s="93">
        <v>0</v>
      </c>
      <c r="X293" s="93">
        <v>0</v>
      </c>
      <c r="Y293" s="93">
        <v>0</v>
      </c>
      <c r="Z293" s="93">
        <v>1884.4989</v>
      </c>
      <c r="AA293" s="93">
        <v>619.50459000000001</v>
      </c>
    </row>
    <row r="294" spans="3:27" x14ac:dyDescent="0.35">
      <c r="C294" s="88" t="s">
        <v>238</v>
      </c>
      <c r="D294" s="93">
        <v>2504.0034999999998</v>
      </c>
      <c r="E294" s="93">
        <v>2700</v>
      </c>
      <c r="F294" s="93">
        <v>2700</v>
      </c>
      <c r="G294" s="93">
        <v>2700</v>
      </c>
      <c r="H294" s="93">
        <v>2700</v>
      </c>
      <c r="I294" s="93">
        <v>2700</v>
      </c>
      <c r="J294" s="93">
        <v>2700</v>
      </c>
      <c r="K294" s="93">
        <v>2700</v>
      </c>
      <c r="L294" s="93">
        <v>2700</v>
      </c>
      <c r="M294" s="93">
        <v>2700</v>
      </c>
      <c r="N294" s="93">
        <v>2700</v>
      </c>
      <c r="O294" s="93">
        <v>2700</v>
      </c>
      <c r="P294" s="93">
        <v>2700</v>
      </c>
      <c r="Q294" s="93">
        <v>0</v>
      </c>
      <c r="R294" s="93">
        <v>0</v>
      </c>
      <c r="S294" s="93">
        <v>0</v>
      </c>
      <c r="T294" s="93">
        <v>0</v>
      </c>
      <c r="U294" s="93">
        <v>0</v>
      </c>
      <c r="V294" s="93">
        <v>0</v>
      </c>
      <c r="W294" s="93">
        <v>0</v>
      </c>
      <c r="X294" s="93">
        <v>0</v>
      </c>
      <c r="Y294" s="93">
        <v>0</v>
      </c>
      <c r="Z294" s="93">
        <v>1884.4989</v>
      </c>
      <c r="AA294" s="93">
        <v>2504.0034999999998</v>
      </c>
    </row>
    <row r="295" spans="3:27" x14ac:dyDescent="0.35">
      <c r="C295" s="76" t="s">
        <v>239</v>
      </c>
      <c r="D295" s="93">
        <v>1174.7492999999999</v>
      </c>
      <c r="E295" s="93">
        <v>1106.1431</v>
      </c>
      <c r="F295" s="93">
        <v>1036.4813999999999</v>
      </c>
      <c r="G295" s="93">
        <v>1012.2054000000001</v>
      </c>
      <c r="H295" s="93">
        <v>1052.3136</v>
      </c>
      <c r="I295" s="93">
        <v>1182.1376</v>
      </c>
      <c r="J295" s="93">
        <v>1765.8181</v>
      </c>
      <c r="K295" s="93">
        <v>1890.3647000000001</v>
      </c>
      <c r="L295" s="93">
        <v>1953.6935000000001</v>
      </c>
      <c r="M295" s="93">
        <v>1988.5244</v>
      </c>
      <c r="N295" s="93">
        <v>1995.9127000000001</v>
      </c>
      <c r="O295" s="93">
        <v>1980.0805</v>
      </c>
      <c r="P295" s="93">
        <v>1989.5799</v>
      </c>
      <c r="Q295" s="93">
        <v>1987.4689000000001</v>
      </c>
      <c r="R295" s="93">
        <v>1928.3620000000001</v>
      </c>
      <c r="S295" s="93">
        <v>1855.5338999999999</v>
      </c>
      <c r="T295" s="93">
        <v>1950.5271</v>
      </c>
      <c r="U295" s="93">
        <v>2020.1887999999999</v>
      </c>
      <c r="V295" s="93">
        <v>2091.9614000000001</v>
      </c>
      <c r="W295" s="93">
        <v>2103.5717</v>
      </c>
      <c r="X295" s="93">
        <v>2038.1319000000001</v>
      </c>
      <c r="Y295" s="93">
        <v>1962.1374000000001</v>
      </c>
      <c r="Z295" s="93">
        <v>1577.9427000000001</v>
      </c>
      <c r="AA295" s="93">
        <v>1352.0699</v>
      </c>
    </row>
    <row r="296" spans="3:27" x14ac:dyDescent="0.35">
      <c r="C296" s="76" t="s">
        <v>240</v>
      </c>
      <c r="D296" s="93">
        <v>0</v>
      </c>
      <c r="E296" s="93">
        <v>0</v>
      </c>
      <c r="F296" s="93">
        <v>0</v>
      </c>
      <c r="G296" s="93">
        <v>0</v>
      </c>
      <c r="H296" s="93">
        <v>0</v>
      </c>
      <c r="I296" s="93">
        <v>0</v>
      </c>
      <c r="J296" s="93">
        <v>0</v>
      </c>
      <c r="K296" s="93">
        <v>2899.6188999999999</v>
      </c>
      <c r="L296" s="93">
        <v>0</v>
      </c>
      <c r="M296" s="93">
        <v>0</v>
      </c>
      <c r="N296" s="93">
        <v>0</v>
      </c>
      <c r="O296" s="93">
        <v>0</v>
      </c>
      <c r="P296" s="93">
        <v>0</v>
      </c>
      <c r="Q296" s="93">
        <v>0</v>
      </c>
      <c r="R296" s="93">
        <v>0</v>
      </c>
      <c r="S296" s="93">
        <v>0</v>
      </c>
      <c r="T296" s="93">
        <v>50.190533000000002</v>
      </c>
      <c r="U296" s="93">
        <v>0</v>
      </c>
      <c r="V296" s="93">
        <v>0</v>
      </c>
      <c r="W296" s="93">
        <v>50.190533000000002</v>
      </c>
      <c r="X296" s="93">
        <v>0</v>
      </c>
      <c r="Y296" s="93">
        <v>0</v>
      </c>
      <c r="Z296" s="93">
        <v>0</v>
      </c>
      <c r="AA296" s="93">
        <v>0</v>
      </c>
    </row>
    <row r="297" spans="3:27" x14ac:dyDescent="0.35">
      <c r="C297" s="76" t="s">
        <v>240</v>
      </c>
      <c r="D297" s="93">
        <v>1500</v>
      </c>
      <c r="E297" s="93">
        <v>1500</v>
      </c>
      <c r="F297" s="93">
        <v>1500</v>
      </c>
      <c r="G297" s="93">
        <v>1500</v>
      </c>
      <c r="H297" s="93">
        <v>1500</v>
      </c>
      <c r="I297" s="93">
        <v>1500</v>
      </c>
      <c r="J297" s="93">
        <v>1500</v>
      </c>
      <c r="K297" s="93">
        <v>1500</v>
      </c>
      <c r="L297" s="93">
        <v>1500</v>
      </c>
      <c r="M297" s="93">
        <v>1500</v>
      </c>
      <c r="N297" s="93">
        <v>1500</v>
      </c>
      <c r="O297" s="93">
        <v>1500</v>
      </c>
      <c r="P297" s="93">
        <v>1500</v>
      </c>
      <c r="Q297" s="93">
        <v>1500</v>
      </c>
      <c r="R297" s="93">
        <v>1500</v>
      </c>
      <c r="S297" s="93">
        <v>1500</v>
      </c>
      <c r="T297" s="93">
        <v>1449.8095000000001</v>
      </c>
      <c r="U297" s="93">
        <v>1449.8095000000001</v>
      </c>
      <c r="V297" s="93">
        <v>1449.8095000000001</v>
      </c>
      <c r="W297" s="93">
        <v>1500</v>
      </c>
      <c r="X297" s="93">
        <v>1500</v>
      </c>
      <c r="Y297" s="93">
        <v>1500</v>
      </c>
      <c r="Z297" s="93">
        <v>1500</v>
      </c>
      <c r="AA297" s="93">
        <v>1500</v>
      </c>
    </row>
    <row r="298" spans="3:27" x14ac:dyDescent="0.35">
      <c r="C298" s="76" t="s">
        <v>241</v>
      </c>
      <c r="D298" s="93">
        <v>0</v>
      </c>
      <c r="E298" s="93">
        <v>0</v>
      </c>
      <c r="F298" s="93">
        <v>0</v>
      </c>
      <c r="G298" s="93">
        <v>0</v>
      </c>
      <c r="H298" s="93">
        <v>0</v>
      </c>
      <c r="I298" s="93">
        <v>1</v>
      </c>
      <c r="J298" s="93">
        <v>1</v>
      </c>
      <c r="K298" s="93">
        <v>1</v>
      </c>
      <c r="L298" s="93">
        <v>1</v>
      </c>
      <c r="M298" s="93">
        <v>1</v>
      </c>
      <c r="N298" s="93">
        <v>1</v>
      </c>
      <c r="O298" s="93">
        <v>0</v>
      </c>
      <c r="P298" s="93">
        <v>0</v>
      </c>
      <c r="Q298" s="93">
        <v>0</v>
      </c>
      <c r="R298" s="93">
        <v>0</v>
      </c>
      <c r="S298" s="93">
        <v>0</v>
      </c>
      <c r="T298" s="93">
        <v>0</v>
      </c>
      <c r="U298" s="93">
        <v>0</v>
      </c>
      <c r="V298" s="93">
        <v>0</v>
      </c>
      <c r="W298" s="93">
        <v>0</v>
      </c>
      <c r="X298" s="93">
        <v>0</v>
      </c>
      <c r="Y298" s="93">
        <v>0</v>
      </c>
      <c r="Z298" s="93">
        <v>0</v>
      </c>
      <c r="AA298" s="93">
        <v>0</v>
      </c>
    </row>
    <row r="299" spans="3:27" x14ac:dyDescent="0.35">
      <c r="C299" s="76" t="s">
        <v>242</v>
      </c>
      <c r="D299" s="93">
        <v>0</v>
      </c>
      <c r="E299" s="93">
        <v>0</v>
      </c>
      <c r="F299" s="93">
        <v>0</v>
      </c>
      <c r="G299" s="93">
        <v>0</v>
      </c>
      <c r="H299" s="93">
        <v>0</v>
      </c>
      <c r="I299" s="93">
        <v>2000</v>
      </c>
      <c r="J299" s="93">
        <v>0</v>
      </c>
      <c r="K299" s="93">
        <v>109.19053</v>
      </c>
      <c r="L299" s="93">
        <v>0</v>
      </c>
      <c r="M299" s="93">
        <v>0</v>
      </c>
      <c r="N299" s="93">
        <v>1890.8095000000001</v>
      </c>
      <c r="O299" s="93">
        <v>2000</v>
      </c>
      <c r="P299" s="93">
        <v>0</v>
      </c>
      <c r="Q299" s="93">
        <v>0</v>
      </c>
      <c r="R299" s="93">
        <v>0</v>
      </c>
      <c r="S299" s="93">
        <v>0</v>
      </c>
      <c r="T299" s="93">
        <v>0</v>
      </c>
      <c r="U299" s="93">
        <v>0</v>
      </c>
      <c r="V299" s="93">
        <v>0</v>
      </c>
      <c r="W299" s="93">
        <v>0</v>
      </c>
      <c r="X299" s="93">
        <v>0</v>
      </c>
      <c r="Y299" s="93">
        <v>0</v>
      </c>
      <c r="Z299" s="93">
        <v>0</v>
      </c>
      <c r="AA299" s="93">
        <v>0</v>
      </c>
    </row>
    <row r="300" spans="3:27" x14ac:dyDescent="0.35">
      <c r="C300" s="88" t="s">
        <v>199</v>
      </c>
      <c r="D300" s="93">
        <v>0</v>
      </c>
      <c r="E300" s="93">
        <v>0</v>
      </c>
      <c r="F300" s="93">
        <v>0</v>
      </c>
      <c r="G300" s="93">
        <v>0</v>
      </c>
      <c r="H300" s="93">
        <v>0</v>
      </c>
      <c r="I300" s="93">
        <v>2000</v>
      </c>
      <c r="J300" s="93">
        <v>2000</v>
      </c>
      <c r="K300" s="93">
        <v>2109.1905000000002</v>
      </c>
      <c r="L300" s="93">
        <v>2109.1905000000002</v>
      </c>
      <c r="M300" s="93">
        <v>2109.1905000000002</v>
      </c>
      <c r="N300" s="93">
        <v>2000</v>
      </c>
      <c r="O300" s="93">
        <v>0</v>
      </c>
      <c r="P300" s="93">
        <v>0</v>
      </c>
      <c r="Q300" s="93">
        <v>0</v>
      </c>
      <c r="R300" s="93">
        <v>0</v>
      </c>
      <c r="S300" s="93">
        <v>0</v>
      </c>
      <c r="T300" s="93">
        <v>0</v>
      </c>
      <c r="U300" s="93">
        <v>0</v>
      </c>
      <c r="V300" s="93">
        <v>0</v>
      </c>
      <c r="W300" s="93">
        <v>0</v>
      </c>
      <c r="X300" s="93">
        <v>0</v>
      </c>
      <c r="Y300" s="93">
        <v>0</v>
      </c>
      <c r="Z300" s="93">
        <v>0</v>
      </c>
      <c r="AA300" s="93">
        <v>0</v>
      </c>
    </row>
    <row r="301" spans="3:27" x14ac:dyDescent="0.35">
      <c r="C301" s="88" t="s">
        <v>243</v>
      </c>
      <c r="D301" s="93">
        <v>65.703380999999993</v>
      </c>
      <c r="E301" s="93">
        <v>0</v>
      </c>
      <c r="F301" s="93">
        <v>0</v>
      </c>
      <c r="G301" s="93">
        <v>0</v>
      </c>
      <c r="H301" s="93">
        <v>0</v>
      </c>
      <c r="I301" s="93">
        <v>1434.2965999999999</v>
      </c>
      <c r="J301" s="93">
        <v>0</v>
      </c>
      <c r="K301" s="93">
        <v>0</v>
      </c>
      <c r="L301" s="93">
        <v>0</v>
      </c>
      <c r="M301" s="93">
        <v>0</v>
      </c>
      <c r="N301" s="93">
        <v>596.20379000000003</v>
      </c>
      <c r="O301" s="93">
        <v>903.79620999999997</v>
      </c>
      <c r="P301" s="93">
        <v>0</v>
      </c>
      <c r="Q301" s="93">
        <v>0</v>
      </c>
      <c r="R301" s="93">
        <v>0</v>
      </c>
      <c r="S301" s="93">
        <v>0</v>
      </c>
      <c r="T301" s="93">
        <v>0</v>
      </c>
      <c r="U301" s="93">
        <v>0</v>
      </c>
      <c r="V301" s="93">
        <v>0</v>
      </c>
      <c r="W301" s="93">
        <v>0</v>
      </c>
      <c r="X301" s="93">
        <v>0</v>
      </c>
      <c r="Y301" s="93">
        <v>0</v>
      </c>
      <c r="Z301" s="93">
        <v>0</v>
      </c>
      <c r="AA301" s="93">
        <v>0</v>
      </c>
    </row>
    <row r="302" spans="3:27" x14ac:dyDescent="0.35">
      <c r="C302" s="88" t="s">
        <v>244</v>
      </c>
      <c r="D302" s="93">
        <v>1650.5257999999999</v>
      </c>
      <c r="E302" s="93">
        <v>1650.5257999999999</v>
      </c>
      <c r="F302" s="93">
        <v>1650.5257999999999</v>
      </c>
      <c r="G302" s="93">
        <v>1650.5257999999999</v>
      </c>
      <c r="H302" s="93">
        <v>1650.5257999999999</v>
      </c>
      <c r="I302" s="93">
        <v>3084.8224</v>
      </c>
      <c r="J302" s="93">
        <v>3084.8224</v>
      </c>
      <c r="K302" s="93">
        <v>3084.8224</v>
      </c>
      <c r="L302" s="93">
        <v>3084.8224</v>
      </c>
      <c r="M302" s="93">
        <v>3084.8224</v>
      </c>
      <c r="N302" s="93">
        <v>2488.6185999999998</v>
      </c>
      <c r="O302" s="93">
        <v>1584.8224</v>
      </c>
      <c r="P302" s="93">
        <v>1584.8224</v>
      </c>
      <c r="Q302" s="93">
        <v>1584.8224</v>
      </c>
      <c r="R302" s="93">
        <v>1584.8224</v>
      </c>
      <c r="S302" s="93">
        <v>1584.8224</v>
      </c>
      <c r="T302" s="93">
        <v>1584.8224</v>
      </c>
      <c r="U302" s="93">
        <v>1584.8224</v>
      </c>
      <c r="V302" s="93">
        <v>1584.8224</v>
      </c>
      <c r="W302" s="93">
        <v>1584.8224</v>
      </c>
      <c r="X302" s="93">
        <v>1584.8224</v>
      </c>
      <c r="Y302" s="93">
        <v>1584.8224</v>
      </c>
      <c r="Z302" s="93">
        <v>1584.8224</v>
      </c>
      <c r="AA302" s="93">
        <v>1584.8224</v>
      </c>
    </row>
    <row r="303" spans="3:27" x14ac:dyDescent="0.35">
      <c r="C303" s="76" t="s">
        <v>245</v>
      </c>
      <c r="D303" s="93">
        <v>690.03269999999998</v>
      </c>
      <c r="E303" s="93">
        <v>602.98897999999997</v>
      </c>
      <c r="F303" s="93">
        <v>491.24641000000003</v>
      </c>
      <c r="G303" s="93">
        <v>531.23950000000002</v>
      </c>
      <c r="H303" s="93">
        <v>735.75966000000005</v>
      </c>
      <c r="I303" s="93">
        <v>819.96747000000005</v>
      </c>
      <c r="J303" s="93">
        <v>927.50894000000005</v>
      </c>
      <c r="K303" s="93">
        <v>1038.4519</v>
      </c>
      <c r="L303" s="93">
        <v>1063.6428000000001</v>
      </c>
      <c r="M303" s="93">
        <v>1056.8873000000001</v>
      </c>
      <c r="N303" s="93">
        <v>1053.7333000000001</v>
      </c>
      <c r="O303" s="93">
        <v>1047.8598999999999</v>
      </c>
      <c r="P303" s="93">
        <v>1041.8216</v>
      </c>
      <c r="Q303" s="93">
        <v>1016.5483</v>
      </c>
      <c r="R303" s="93">
        <v>989.35496000000001</v>
      </c>
      <c r="S303" s="93">
        <v>1006.9971</v>
      </c>
      <c r="T303" s="93">
        <v>1031.6455000000001</v>
      </c>
      <c r="U303" s="93">
        <v>1013.2227</v>
      </c>
      <c r="V303" s="93">
        <v>981.03182000000004</v>
      </c>
      <c r="W303" s="93">
        <v>949.43750999999997</v>
      </c>
      <c r="X303" s="93">
        <v>892.10388</v>
      </c>
      <c r="Y303" s="93">
        <v>841.62022999999999</v>
      </c>
      <c r="Z303" s="93">
        <v>807.95414000000005</v>
      </c>
      <c r="AA303" s="93">
        <v>775.89358000000004</v>
      </c>
    </row>
    <row r="304" spans="3:27" x14ac:dyDescent="0.35">
      <c r="C304" s="76" t="s">
        <v>246</v>
      </c>
      <c r="D304" s="93">
        <v>302.1823</v>
      </c>
      <c r="E304" s="93">
        <v>185.11168000000001</v>
      </c>
      <c r="F304" s="93">
        <v>117.07062999999999</v>
      </c>
      <c r="G304" s="93">
        <v>97.058554000000001</v>
      </c>
      <c r="H304" s="93">
        <v>319.19256000000001</v>
      </c>
      <c r="I304" s="93">
        <v>622.37546999999995</v>
      </c>
      <c r="J304" s="93">
        <v>695.41953999999998</v>
      </c>
      <c r="K304" s="93">
        <v>763.46059000000002</v>
      </c>
      <c r="L304" s="93">
        <v>758.45757000000003</v>
      </c>
      <c r="M304" s="93">
        <v>756.45636000000002</v>
      </c>
      <c r="N304" s="93">
        <v>749.45213000000001</v>
      </c>
      <c r="O304" s="93">
        <v>743.44851000000006</v>
      </c>
      <c r="P304" s="93">
        <v>745.44971999999996</v>
      </c>
      <c r="Q304" s="93">
        <v>754.45515</v>
      </c>
      <c r="R304" s="93">
        <v>701.42316000000005</v>
      </c>
      <c r="S304" s="93">
        <v>684.41290000000004</v>
      </c>
      <c r="T304" s="93">
        <v>715.43160999999998</v>
      </c>
      <c r="U304" s="93">
        <v>702.42376000000002</v>
      </c>
      <c r="V304" s="93">
        <v>649.39176999999995</v>
      </c>
      <c r="W304" s="93">
        <v>601.36279000000002</v>
      </c>
      <c r="X304" s="93">
        <v>667.40263000000004</v>
      </c>
      <c r="Y304" s="93">
        <v>585.35314000000005</v>
      </c>
      <c r="Z304" s="93">
        <v>589.35554999999999</v>
      </c>
      <c r="AA304" s="93">
        <v>583.35193000000004</v>
      </c>
    </row>
    <row r="305" spans="3:27" x14ac:dyDescent="0.35">
      <c r="C305" s="76" t="s">
        <v>247</v>
      </c>
      <c r="D305" s="93">
        <v>12.063364</v>
      </c>
      <c r="E305" s="93">
        <v>0</v>
      </c>
      <c r="F305" s="93">
        <v>0</v>
      </c>
      <c r="G305" s="93">
        <v>0</v>
      </c>
      <c r="H305" s="93">
        <v>0</v>
      </c>
      <c r="I305" s="93">
        <v>110.58083999999999</v>
      </c>
      <c r="J305" s="93">
        <v>277.45738</v>
      </c>
      <c r="K305" s="93">
        <v>280.47322000000003</v>
      </c>
      <c r="L305" s="93">
        <v>281.4785</v>
      </c>
      <c r="M305" s="93">
        <v>172.90822</v>
      </c>
      <c r="N305" s="93">
        <v>278.46266000000003</v>
      </c>
      <c r="O305" s="93">
        <v>194.01911000000001</v>
      </c>
      <c r="P305" s="93">
        <v>127.67061</v>
      </c>
      <c r="Q305" s="93">
        <v>200.05079000000001</v>
      </c>
      <c r="R305" s="93">
        <v>251.32008999999999</v>
      </c>
      <c r="S305" s="93">
        <v>157.82902000000001</v>
      </c>
      <c r="T305" s="93">
        <v>138.72869</v>
      </c>
      <c r="U305" s="93">
        <v>148.78149999999999</v>
      </c>
      <c r="V305" s="93">
        <v>241.26729</v>
      </c>
      <c r="W305" s="93">
        <v>127.67061</v>
      </c>
      <c r="X305" s="93">
        <v>124.65477</v>
      </c>
      <c r="Y305" s="93">
        <v>79.417150000000007</v>
      </c>
      <c r="Z305" s="93">
        <v>14.073924999999999</v>
      </c>
      <c r="AA305" s="93">
        <v>8.0422429999999991</v>
      </c>
    </row>
  </sheetData>
  <sheetProtection selectLockedCells="1"/>
  <mergeCells count="38">
    <mergeCell ref="A1:B2"/>
    <mergeCell ref="B25:B35"/>
    <mergeCell ref="A14:A46"/>
    <mergeCell ref="B36:B46"/>
    <mergeCell ref="A3:A13"/>
    <mergeCell ref="B3:B13"/>
    <mergeCell ref="B14:B24"/>
    <mergeCell ref="B129:B140"/>
    <mergeCell ref="B141:B147"/>
    <mergeCell ref="A129:A147"/>
    <mergeCell ref="A47:A67"/>
    <mergeCell ref="B47:B54"/>
    <mergeCell ref="B55:B67"/>
    <mergeCell ref="A68:A80"/>
    <mergeCell ref="B68:B80"/>
    <mergeCell ref="A122:B128"/>
    <mergeCell ref="A81:B86"/>
    <mergeCell ref="A87:B92"/>
    <mergeCell ref="A93:B101"/>
    <mergeCell ref="A102:A121"/>
    <mergeCell ref="B102:B107"/>
    <mergeCell ref="B108:B121"/>
    <mergeCell ref="A148:A179"/>
    <mergeCell ref="B173:B179"/>
    <mergeCell ref="B159:B165"/>
    <mergeCell ref="B148:B158"/>
    <mergeCell ref="B166:B172"/>
    <mergeCell ref="A180:B190"/>
    <mergeCell ref="A191:B201"/>
    <mergeCell ref="A226:B234"/>
    <mergeCell ref="A235:A250"/>
    <mergeCell ref="B235:B242"/>
    <mergeCell ref="B243:B246"/>
    <mergeCell ref="B247:B250"/>
    <mergeCell ref="A202:A225"/>
    <mergeCell ref="B202:B209"/>
    <mergeCell ref="B210:B216"/>
    <mergeCell ref="B217:B225"/>
  </mergeCells>
  <conditionalFormatting sqref="E24:H24 T24:V24 U80:AA80 J24:P24 E67:H67 O67 K67:L67 E29:AA29 X24:AA24">
    <cfRule type="dataBar" priority="214">
      <dataBar>
        <cfvo type="num" val="0"/>
        <cfvo type="num" val="313.3*4545"/>
        <color theme="4" tint="0.59999389629810485"/>
      </dataBar>
      <extLst>
        <ext xmlns:x14="http://schemas.microsoft.com/office/spreadsheetml/2009/9/main" uri="{B025F937-C7B1-47D3-B67F-A62EFF666E3E}">
          <x14:id>{BCD1E2E8-88D7-4F99-B082-E932093B06A9}</x14:id>
        </ext>
      </extLst>
    </cfRule>
  </conditionalFormatting>
  <conditionalFormatting sqref="T67:V67 X67:AA67">
    <cfRule type="dataBar" priority="213">
      <dataBar>
        <cfvo type="num" val="0"/>
        <cfvo type="num" val="313.3*4545"/>
        <color theme="4" tint="0.59999389629810485"/>
      </dataBar>
      <extLst>
        <ext xmlns:x14="http://schemas.microsoft.com/office/spreadsheetml/2009/9/main" uri="{B025F937-C7B1-47D3-B67F-A62EFF666E3E}">
          <x14:id>{6443AD75-67EF-4770-9541-9AFF5CB8E41A}</x14:id>
        </ext>
      </extLst>
    </cfRule>
  </conditionalFormatting>
  <conditionalFormatting sqref="E80:H80 N80:P80">
    <cfRule type="dataBar" priority="212">
      <dataBar>
        <cfvo type="num" val="0"/>
        <cfvo type="num" val="313.3*4545"/>
        <color theme="4" tint="0.59999389629810485"/>
      </dataBar>
      <extLst>
        <ext xmlns:x14="http://schemas.microsoft.com/office/spreadsheetml/2009/9/main" uri="{B025F937-C7B1-47D3-B67F-A62EFF666E3E}">
          <x14:id>{C5793C1F-422D-4910-9663-17FC027D530A}</x14:id>
        </ext>
      </extLst>
    </cfRule>
  </conditionalFormatting>
  <conditionalFormatting sqref="E121:H121 T121:AA121 N121:P121">
    <cfRule type="dataBar" priority="208">
      <dataBar>
        <cfvo type="num" val="0"/>
        <cfvo type="num" val="313.3*4545"/>
        <color theme="4" tint="0.59999389629810485"/>
      </dataBar>
      <extLst>
        <ext xmlns:x14="http://schemas.microsoft.com/office/spreadsheetml/2009/9/main" uri="{B025F937-C7B1-47D3-B67F-A62EFF666E3E}">
          <x14:id>{A106037F-5C5F-4CBA-96F7-58D7A1043BD0}</x14:id>
        </ext>
      </extLst>
    </cfRule>
  </conditionalFormatting>
  <conditionalFormatting sqref="E257:AA257 E259:AA259 E278:AA278 E270:AA272 E274:AA275 E263:AA266 E261:AA261 E33:AA33 E43:AA44 E52:AA52 E54:AA54 E66:AA66 E79:AA79 E85:AA85 E91:AA91 E100:AA100 E106:AA106 E120:AA120 E125:AA125">
    <cfRule type="expression" dxfId="77" priority="207">
      <formula>E33&lt;D33</formula>
    </cfRule>
    <cfRule type="expression" dxfId="76" priority="219">
      <formula>E33&gt;D33</formula>
    </cfRule>
  </conditionalFormatting>
  <conditionalFormatting sqref="E276:AA276">
    <cfRule type="dataBar" priority="187">
      <dataBar>
        <cfvo type="num" val="0"/>
        <cfvo type="num" val="313.3*4545"/>
        <color theme="4" tint="0.59999389629810485"/>
      </dataBar>
      <extLst>
        <ext xmlns:x14="http://schemas.microsoft.com/office/spreadsheetml/2009/9/main" uri="{B025F937-C7B1-47D3-B67F-A62EFF666E3E}">
          <x14:id>{D09D129C-147F-4EF7-93B7-CE8BDBD396C2}</x14:id>
        </ext>
      </extLst>
    </cfRule>
  </conditionalFormatting>
  <conditionalFormatting sqref="S46 S147 U140 S211 S246 S250:S251 S152 S220">
    <cfRule type="cellIs" dxfId="75" priority="178" operator="lessThan">
      <formula>-1</formula>
    </cfRule>
    <cfRule type="cellIs" dxfId="74" priority="179" operator="greaterThan">
      <formula>1</formula>
    </cfRule>
  </conditionalFormatting>
  <conditionalFormatting sqref="S13">
    <cfRule type="cellIs" dxfId="73" priority="176" operator="lessThan">
      <formula>-1</formula>
    </cfRule>
    <cfRule type="cellIs" dxfId="72" priority="177" operator="greaterThan">
      <formula>1</formula>
    </cfRule>
  </conditionalFormatting>
  <conditionalFormatting sqref="S24">
    <cfRule type="cellIs" dxfId="71" priority="174" operator="lessThan">
      <formula>-1</formula>
    </cfRule>
    <cfRule type="cellIs" dxfId="70" priority="175" operator="greaterThan">
      <formula>1</formula>
    </cfRule>
  </conditionalFormatting>
  <conditionalFormatting sqref="S67">
    <cfRule type="cellIs" dxfId="69" priority="172" operator="lessThan">
      <formula>-1</formula>
    </cfRule>
    <cfRule type="cellIs" dxfId="68" priority="173" operator="greaterThan">
      <formula>1</formula>
    </cfRule>
  </conditionalFormatting>
  <conditionalFormatting sqref="S80">
    <cfRule type="cellIs" dxfId="67" priority="170" operator="lessThan">
      <formula>-1</formula>
    </cfRule>
    <cfRule type="cellIs" dxfId="66" priority="171" operator="greaterThan">
      <formula>1</formula>
    </cfRule>
  </conditionalFormatting>
  <conditionalFormatting sqref="S121">
    <cfRule type="cellIs" dxfId="65" priority="168" operator="lessThan">
      <formula>-1</formula>
    </cfRule>
    <cfRule type="cellIs" dxfId="64" priority="169" operator="greaterThan">
      <formula>1</formula>
    </cfRule>
  </conditionalFormatting>
  <conditionalFormatting sqref="D252">
    <cfRule type="cellIs" dxfId="63" priority="166" operator="lessThan">
      <formula>-1</formula>
    </cfRule>
    <cfRule type="cellIs" dxfId="62" priority="167" operator="greaterThan">
      <formula>1</formula>
    </cfRule>
  </conditionalFormatting>
  <conditionalFormatting sqref="S128 S134 S137 S160 S174 S195 S155 S163 S170 S177">
    <cfRule type="cellIs" dxfId="61" priority="164" operator="lessThan">
      <formula>-1</formula>
    </cfRule>
    <cfRule type="cellIs" dxfId="60" priority="165" operator="greaterThan">
      <formula>1</formula>
    </cfRule>
  </conditionalFormatting>
  <conditionalFormatting sqref="E35:P35 T35:V35 X35:AA35">
    <cfRule type="dataBar" priority="162">
      <dataBar>
        <cfvo type="num" val="0"/>
        <cfvo type="num" val="313.3*4545"/>
        <color theme="4" tint="0.59999389629810485"/>
      </dataBar>
      <extLst>
        <ext xmlns:x14="http://schemas.microsoft.com/office/spreadsheetml/2009/9/main" uri="{B025F937-C7B1-47D3-B67F-A62EFF666E3E}">
          <x14:id>{9867144F-31D3-4B73-AF46-041C2F9E7DFE}</x14:id>
        </ext>
      </extLst>
    </cfRule>
  </conditionalFormatting>
  <conditionalFormatting sqref="S35">
    <cfRule type="cellIs" dxfId="59" priority="158" operator="lessThan">
      <formula>-1</formula>
    </cfRule>
    <cfRule type="cellIs" dxfId="58" priority="159" operator="greaterThan">
      <formula>1</formula>
    </cfRule>
  </conditionalFormatting>
  <conditionalFormatting sqref="E12:AA12">
    <cfRule type="expression" dxfId="57" priority="152">
      <formula>E12&lt;D12</formula>
    </cfRule>
    <cfRule type="expression" dxfId="56" priority="153">
      <formula>E12&gt;D12</formula>
    </cfRule>
  </conditionalFormatting>
  <conditionalFormatting sqref="E23:AA23">
    <cfRule type="expression" dxfId="55" priority="150">
      <formula>E23&lt;D23</formula>
    </cfRule>
    <cfRule type="expression" dxfId="54" priority="151">
      <formula>E23&gt;D23</formula>
    </cfRule>
  </conditionalFormatting>
  <conditionalFormatting sqref="S142 S145">
    <cfRule type="cellIs" dxfId="53" priority="114" operator="lessThan">
      <formula>-1</formula>
    </cfRule>
    <cfRule type="cellIs" dxfId="52" priority="115" operator="greaterThan">
      <formula>1</formula>
    </cfRule>
  </conditionalFormatting>
  <conditionalFormatting sqref="U158">
    <cfRule type="cellIs" dxfId="51" priority="106" operator="lessThan">
      <formula>-1</formula>
    </cfRule>
    <cfRule type="cellIs" dxfId="50" priority="107" operator="greaterThan">
      <formula>1</formula>
    </cfRule>
  </conditionalFormatting>
  <conditionalFormatting sqref="U165">
    <cfRule type="cellIs" dxfId="49" priority="102" operator="lessThan">
      <formula>-1</formula>
    </cfRule>
    <cfRule type="cellIs" dxfId="48" priority="103" operator="greaterThan">
      <formula>1</formula>
    </cfRule>
  </conditionalFormatting>
  <conditionalFormatting sqref="U179 U184">
    <cfRule type="cellIs" dxfId="47" priority="98" operator="lessThan">
      <formula>-1</formula>
    </cfRule>
    <cfRule type="cellIs" dxfId="46" priority="99" operator="greaterThan">
      <formula>1</formula>
    </cfRule>
  </conditionalFormatting>
  <conditionalFormatting sqref="S187">
    <cfRule type="cellIs" dxfId="45" priority="93" operator="lessThan">
      <formula>-1</formula>
    </cfRule>
    <cfRule type="cellIs" dxfId="44" priority="94" operator="greaterThan">
      <formula>1</formula>
    </cfRule>
  </conditionalFormatting>
  <conditionalFormatting sqref="S198">
    <cfRule type="cellIs" dxfId="43" priority="91" operator="lessThan">
      <formula>-1</formula>
    </cfRule>
    <cfRule type="cellIs" dxfId="42" priority="92" operator="greaterThan">
      <formula>1</formula>
    </cfRule>
  </conditionalFormatting>
  <conditionalFormatting sqref="U190">
    <cfRule type="cellIs" dxfId="41" priority="84" operator="lessThan">
      <formula>-1</formula>
    </cfRule>
    <cfRule type="cellIs" dxfId="40" priority="85" operator="greaterThan">
      <formula>1</formula>
    </cfRule>
  </conditionalFormatting>
  <conditionalFormatting sqref="U201">
    <cfRule type="cellIs" dxfId="39" priority="79" operator="lessThan">
      <formula>-1</formula>
    </cfRule>
    <cfRule type="cellIs" dxfId="38" priority="80" operator="greaterThan">
      <formula>1</formula>
    </cfRule>
  </conditionalFormatting>
  <conditionalFormatting sqref="U216">
    <cfRule type="cellIs" dxfId="37" priority="74" operator="lessThan">
      <formula>-1</formula>
    </cfRule>
    <cfRule type="cellIs" dxfId="36" priority="75" operator="greaterThan">
      <formula>1</formula>
    </cfRule>
  </conditionalFormatting>
  <conditionalFormatting sqref="U225">
    <cfRule type="cellIs" dxfId="35" priority="69" operator="lessThan">
      <formula>-1</formula>
    </cfRule>
    <cfRule type="cellIs" dxfId="34" priority="70" operator="greaterThan">
      <formula>1</formula>
    </cfRule>
  </conditionalFormatting>
  <conditionalFormatting sqref="U209">
    <cfRule type="cellIs" dxfId="33" priority="63" operator="lessThan">
      <formula>-1</formula>
    </cfRule>
    <cfRule type="cellIs" dxfId="32" priority="64" operator="greaterThan">
      <formula>1</formula>
    </cfRule>
  </conditionalFormatting>
  <conditionalFormatting sqref="U242">
    <cfRule type="cellIs" dxfId="31" priority="60" operator="lessThan">
      <formula>-1</formula>
    </cfRule>
    <cfRule type="cellIs" dxfId="30" priority="61" operator="greaterThan">
      <formula>1</formula>
    </cfRule>
  </conditionalFormatting>
  <conditionalFormatting sqref="D2:AA2">
    <cfRule type="iconSet" priority="51">
      <iconSet reverse="1">
        <cfvo type="percent" val="0"/>
        <cfvo type="percent" val="10"/>
        <cfvo type="percent" val="50"/>
      </iconSet>
    </cfRule>
  </conditionalFormatting>
  <conditionalFormatting sqref="U172">
    <cfRule type="cellIs" dxfId="29" priority="48" operator="lessThan">
      <formula>-1</formula>
    </cfRule>
    <cfRule type="cellIs" dxfId="28" priority="49" operator="greaterThan">
      <formula>1</formula>
    </cfRule>
  </conditionalFormatting>
  <conditionalFormatting sqref="S214">
    <cfRule type="cellIs" dxfId="27" priority="33" operator="lessThan">
      <formula>-1</formula>
    </cfRule>
    <cfRule type="cellIs" dxfId="26" priority="34" operator="greaterThan">
      <formula>1</formula>
    </cfRule>
  </conditionalFormatting>
  <conditionalFormatting sqref="S223">
    <cfRule type="cellIs" dxfId="25" priority="31" operator="lessThan">
      <formula>-1</formula>
    </cfRule>
    <cfRule type="cellIs" dxfId="24" priority="32" operator="greaterThan">
      <formula>1</formula>
    </cfRule>
  </conditionalFormatting>
  <conditionalFormatting sqref="U234">
    <cfRule type="cellIs" dxfId="23" priority="24" operator="lessThan">
      <formula>-1</formula>
    </cfRule>
    <cfRule type="cellIs" dxfId="22" priority="25" operator="greaterThan">
      <formula>1</formula>
    </cfRule>
  </conditionalFormatting>
  <conditionalFormatting sqref="E139:AA139">
    <cfRule type="expression" dxfId="21" priority="21">
      <formula>E139&lt;D139</formula>
    </cfRule>
    <cfRule type="expression" dxfId="20" priority="22">
      <formula>E139&gt;D139</formula>
    </cfRule>
  </conditionalFormatting>
  <conditionalFormatting sqref="E157:AA157">
    <cfRule type="expression" dxfId="19" priority="19">
      <formula>E157&lt;D157</formula>
    </cfRule>
    <cfRule type="expression" dxfId="18" priority="20">
      <formula>E157&gt;D157</formula>
    </cfRule>
  </conditionalFormatting>
  <conditionalFormatting sqref="E280:AA280">
    <cfRule type="expression" dxfId="17" priority="17">
      <formula>E280&lt;D280</formula>
    </cfRule>
    <cfRule type="expression" dxfId="16" priority="18">
      <formula>E280&gt;D280</formula>
    </cfRule>
  </conditionalFormatting>
  <conditionalFormatting sqref="E284:AA284">
    <cfRule type="expression" dxfId="15" priority="15">
      <formula>E284&lt;D284</formula>
    </cfRule>
    <cfRule type="expression" dxfId="14" priority="16">
      <formula>E284&gt;D284</formula>
    </cfRule>
  </conditionalFormatting>
  <conditionalFormatting sqref="E164:AA164">
    <cfRule type="expression" dxfId="13" priority="13">
      <formula>E164&lt;D164</formula>
    </cfRule>
    <cfRule type="expression" dxfId="12" priority="14">
      <formula>E164&gt;D164</formula>
    </cfRule>
  </conditionalFormatting>
  <conditionalFormatting sqref="E178:AA178">
    <cfRule type="expression" dxfId="11" priority="11">
      <formula>E178&lt;D178</formula>
    </cfRule>
    <cfRule type="expression" dxfId="10" priority="12">
      <formula>E178&gt;D178</formula>
    </cfRule>
  </conditionalFormatting>
  <conditionalFormatting sqref="E189:AA189">
    <cfRule type="expression" dxfId="9" priority="9">
      <formula>E189&lt;D189</formula>
    </cfRule>
    <cfRule type="expression" dxfId="8" priority="10">
      <formula>E189&gt;D189</formula>
    </cfRule>
  </conditionalFormatting>
  <conditionalFormatting sqref="E200:AA200">
    <cfRule type="expression" dxfId="7" priority="7">
      <formula>E200&lt;D200</formula>
    </cfRule>
    <cfRule type="expression" dxfId="6" priority="8">
      <formula>E200&gt;D200</formula>
    </cfRule>
  </conditionalFormatting>
  <conditionalFormatting sqref="E215:AA215">
    <cfRule type="expression" dxfId="5" priority="5">
      <formula>E215&lt;D215</formula>
    </cfRule>
    <cfRule type="expression" dxfId="4" priority="6">
      <formula>E215&gt;D215</formula>
    </cfRule>
  </conditionalFormatting>
  <conditionalFormatting sqref="E224:AA224">
    <cfRule type="expression" dxfId="3" priority="3">
      <formula>E224&lt;D224</formula>
    </cfRule>
    <cfRule type="expression" dxfId="2" priority="4">
      <formula>E224&gt;D224</formula>
    </cfRule>
  </conditionalFormatting>
  <conditionalFormatting sqref="E233:AA233">
    <cfRule type="expression" dxfId="1" priority="1">
      <formula>E233&lt;D233</formula>
    </cfRule>
    <cfRule type="expression" dxfId="0" priority="2">
      <formula>E233&gt;D233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D1E2E8-88D7-4F99-B082-E932093B06A9}">
            <x14:dataBar minLength="0" maxLength="100" gradient="0">
              <x14:cfvo type="num">
                <xm:f>0</xm:f>
              </x14:cfvo>
              <x14:cfvo type="num">
                <xm:f>313.3*4545</xm:f>
              </x14:cfvo>
              <x14:negativeFillColor rgb="FFFF0000"/>
              <x14:axisColor rgb="FF000000"/>
            </x14:dataBar>
          </x14:cfRule>
          <xm:sqref>E24:H24 T24:V24 U80:AA80 J24:P24 E67:H67 O67 K67:L67 E29:AA29 X24:AA24</xm:sqref>
        </x14:conditionalFormatting>
        <x14:conditionalFormatting xmlns:xm="http://schemas.microsoft.com/office/excel/2006/main">
          <x14:cfRule type="dataBar" id="{6443AD75-67EF-4770-9541-9AFF5CB8E41A}">
            <x14:dataBar minLength="0" maxLength="100" gradient="0">
              <x14:cfvo type="num">
                <xm:f>0</xm:f>
              </x14:cfvo>
              <x14:cfvo type="num">
                <xm:f>313.3*4545</xm:f>
              </x14:cfvo>
              <x14:negativeFillColor rgb="FFFF0000"/>
              <x14:axisColor rgb="FF000000"/>
            </x14:dataBar>
          </x14:cfRule>
          <xm:sqref>T67:V67 X67:AA67</xm:sqref>
        </x14:conditionalFormatting>
        <x14:conditionalFormatting xmlns:xm="http://schemas.microsoft.com/office/excel/2006/main">
          <x14:cfRule type="dataBar" id="{C5793C1F-422D-4910-9663-17FC027D530A}">
            <x14:dataBar minLength="0" maxLength="100" gradient="0">
              <x14:cfvo type="num">
                <xm:f>0</xm:f>
              </x14:cfvo>
              <x14:cfvo type="num">
                <xm:f>313.3*4545</xm:f>
              </x14:cfvo>
              <x14:negativeFillColor rgb="FFFF0000"/>
              <x14:axisColor rgb="FF000000"/>
            </x14:dataBar>
          </x14:cfRule>
          <xm:sqref>E80:H80 N80:P80</xm:sqref>
        </x14:conditionalFormatting>
        <x14:conditionalFormatting xmlns:xm="http://schemas.microsoft.com/office/excel/2006/main">
          <x14:cfRule type="dataBar" id="{A106037F-5C5F-4CBA-96F7-58D7A1043BD0}">
            <x14:dataBar minLength="0" maxLength="100" gradient="0">
              <x14:cfvo type="num">
                <xm:f>0</xm:f>
              </x14:cfvo>
              <x14:cfvo type="num">
                <xm:f>313.3*4545</xm:f>
              </x14:cfvo>
              <x14:negativeFillColor rgb="FFFF0000"/>
              <x14:axisColor rgb="FF000000"/>
            </x14:dataBar>
          </x14:cfRule>
          <xm:sqref>E121:H121 T121:AA121 N121:P121</xm:sqref>
        </x14:conditionalFormatting>
        <x14:conditionalFormatting xmlns:xm="http://schemas.microsoft.com/office/excel/2006/main">
          <x14:cfRule type="dataBar" id="{D09D129C-147F-4EF7-93B7-CE8BDBD396C2}">
            <x14:dataBar minLength="0" maxLength="100" gradient="0">
              <x14:cfvo type="num">
                <xm:f>0</xm:f>
              </x14:cfvo>
              <x14:cfvo type="num">
                <xm:f>313.3*4545</xm:f>
              </x14:cfvo>
              <x14:negativeFillColor rgb="FFFF0000"/>
              <x14:axisColor rgb="FF000000"/>
            </x14:dataBar>
          </x14:cfRule>
          <xm:sqref>E276:AA276</xm:sqref>
        </x14:conditionalFormatting>
        <x14:conditionalFormatting xmlns:xm="http://schemas.microsoft.com/office/excel/2006/main">
          <x14:cfRule type="dataBar" id="{9867144F-31D3-4B73-AF46-041C2F9E7DFE}">
            <x14:dataBar minLength="0" maxLength="100" gradient="0">
              <x14:cfvo type="num">
                <xm:f>0</xm:f>
              </x14:cfvo>
              <x14:cfvo type="num">
                <xm:f>313.3*4545</xm:f>
              </x14:cfvo>
              <x14:negativeFillColor rgb="FFFF0000"/>
              <x14:axisColor rgb="FF000000"/>
            </x14:dataBar>
          </x14:cfRule>
          <xm:sqref>E35:P35 T35:V35 X35:AA35</xm:sqref>
        </x14:conditionalFormatting>
        <x14:conditionalFormatting xmlns:xm="http://schemas.microsoft.com/office/excel/2006/main">
          <x14:cfRule type="dataBar" priority="221" id="{01919F21-B315-4A00-8AF1-C1C96ACE352E}">
            <x14:dataBar minLength="0" maxLength="100" gradient="0">
              <x14:cfvo type="num">
                <xm:f>'Stations Data'!$H$4</xm:f>
              </x14:cfvo>
              <x14:cfvo type="num">
                <xm:f>'Stations Data'!$N$4</xm:f>
              </x14:cfvo>
              <x14:fillColor theme="4" tint="0.59999389629810485"/>
              <x14:negativeFillColor rgb="FFFF0000"/>
              <x14:axisColor rgb="FF000000"/>
            </x14:dataBar>
          </x14:cfRule>
          <xm:sqref>D22:AA22</xm:sqref>
        </x14:conditionalFormatting>
        <x14:conditionalFormatting xmlns:xm="http://schemas.microsoft.com/office/excel/2006/main">
          <x14:cfRule type="dataBar" priority="222" id="{E23E5DB9-F7FC-4D49-96E1-3018601EFED5}">
            <x14:dataBar minLength="0" maxLength="100" gradient="0">
              <x14:cfvo type="num">
                <xm:f>'Stations Data'!$H$8</xm:f>
              </x14:cfvo>
              <x14:cfvo type="num">
                <xm:f>'Stations Data'!$N$8</xm:f>
              </x14:cfvo>
              <x14:fillColor theme="4" tint="0.59999389629810485"/>
              <x14:negativeFillColor rgb="FFFF0000"/>
              <x14:axisColor rgb="FF000000"/>
            </x14:dataBar>
          </x14:cfRule>
          <xm:sqref>D45:AA45 T46:V46 E46:P46 X46:AA46</xm:sqref>
        </x14:conditionalFormatting>
        <x14:conditionalFormatting xmlns:xm="http://schemas.microsoft.com/office/excel/2006/main">
          <x14:cfRule type="dataBar" priority="223" id="{A5B82C95-117E-404B-9EBA-892902A86221}">
            <x14:dataBar minLength="0" maxLength="100" gradient="0">
              <x14:cfvo type="num">
                <xm:f>'Stations Data'!$H$10</xm:f>
              </x14:cfvo>
              <x14:cfvo type="num">
                <xm:f>'Stations Data'!$N$10</xm:f>
              </x14:cfvo>
              <x14:fillColor theme="4" tint="0.59999389629810485"/>
              <x14:negativeFillColor rgb="FFFF0000"/>
              <x14:axisColor rgb="FF000000"/>
            </x14:dataBar>
          </x14:cfRule>
          <xm:sqref>D65:AA65</xm:sqref>
        </x14:conditionalFormatting>
        <x14:conditionalFormatting xmlns:xm="http://schemas.microsoft.com/office/excel/2006/main">
          <x14:cfRule type="dataBar" priority="224" id="{B2D148EB-EEBB-4F0D-BEFD-7800DCDD3142}">
            <x14:dataBar minLength="0" maxLength="100" gradient="0">
              <x14:cfvo type="num">
                <xm:f>'Stations Data'!$H$13</xm:f>
              </x14:cfvo>
              <x14:cfvo type="num">
                <xm:f>'Stations Data'!$N$13</xm:f>
              </x14:cfvo>
              <x14:fillColor theme="4" tint="0.59999389629810485"/>
              <x14:negativeFillColor rgb="FFFF0000"/>
              <x14:axisColor rgb="FF000000"/>
            </x14:dataBar>
          </x14:cfRule>
          <xm:sqref>D78:AA78</xm:sqref>
        </x14:conditionalFormatting>
        <x14:conditionalFormatting xmlns:xm="http://schemas.microsoft.com/office/excel/2006/main">
          <x14:cfRule type="dataBar" priority="225" id="{D60DF774-0398-4857-A1C5-A05242E27C63}">
            <x14:dataBar minLength="0" maxLength="100" gradient="0">
              <x14:cfvo type="num">
                <xm:f>'Stations Data'!$H$9</xm:f>
              </x14:cfvo>
              <x14:cfvo type="num">
                <xm:f>'Stations Data'!$N$9</xm:f>
              </x14:cfvo>
              <x14:fillColor theme="4" tint="0.59999389629810485"/>
              <x14:negativeFillColor rgb="FFFF0000"/>
              <x14:axisColor rgb="FF000000"/>
            </x14:dataBar>
          </x14:cfRule>
          <xm:sqref>D53:AA53</xm:sqref>
        </x14:conditionalFormatting>
        <x14:conditionalFormatting xmlns:xm="http://schemas.microsoft.com/office/excel/2006/main">
          <x14:cfRule type="dataBar" priority="226" id="{C874FDBF-4D9D-4276-ADD4-16EACDB7D061}">
            <x14:dataBar minLength="0" maxLength="100" gradient="0">
              <x14:cfvo type="num">
                <xm:f>'Stations Data'!$H$16</xm:f>
              </x14:cfvo>
              <x14:cfvo type="num">
                <xm:f>'Stations Data'!$N$16</xm:f>
              </x14:cfvo>
              <x14:fillColor theme="4" tint="0.59999389629810485"/>
              <x14:negativeFillColor rgb="FFFF0000"/>
              <x14:axisColor rgb="FF000000"/>
            </x14:dataBar>
          </x14:cfRule>
          <xm:sqref>D92:AA92</xm:sqref>
        </x14:conditionalFormatting>
        <x14:conditionalFormatting xmlns:xm="http://schemas.microsoft.com/office/excel/2006/main">
          <x14:cfRule type="dataBar" priority="227" id="{BC8545F7-8B72-4703-BED2-A90C7D0255A3}">
            <x14:dataBar minLength="0" maxLength="100" gradient="0">
              <x14:cfvo type="num">
                <xm:f>'Stations Data'!$H$17</xm:f>
              </x14:cfvo>
              <x14:cfvo type="num">
                <xm:f>'Stations Data'!$N$17</xm:f>
              </x14:cfvo>
              <x14:fillColor theme="4" tint="0.59999389629810485"/>
              <x14:negativeFillColor rgb="FFFF0000"/>
              <x14:axisColor rgb="FF000000"/>
            </x14:dataBar>
          </x14:cfRule>
          <xm:sqref>D101:AA101</xm:sqref>
        </x14:conditionalFormatting>
        <x14:conditionalFormatting xmlns:xm="http://schemas.microsoft.com/office/excel/2006/main">
          <x14:cfRule type="dataBar" priority="228" id="{298C4967-AE41-4270-B058-9172CB3F537D}">
            <x14:dataBar minLength="0" maxLength="100" gradient="0">
              <x14:cfvo type="num">
                <xm:f>'Stations Data'!$H$18</xm:f>
              </x14:cfvo>
              <x14:cfvo type="num">
                <xm:f>'Stations Data'!$N$18</xm:f>
              </x14:cfvo>
              <x14:fillColor theme="4" tint="0.59999389629810485"/>
              <x14:negativeFillColor rgb="FFFF0000"/>
              <x14:axisColor rgb="FF000000"/>
            </x14:dataBar>
          </x14:cfRule>
          <xm:sqref>D107:AA107</xm:sqref>
        </x14:conditionalFormatting>
        <x14:conditionalFormatting xmlns:xm="http://schemas.microsoft.com/office/excel/2006/main">
          <x14:cfRule type="dataBar" priority="229" id="{472FB79E-1B98-49FE-B566-86979E618062}">
            <x14:dataBar minLength="0" maxLength="100" gradient="0">
              <x14:cfvo type="num">
                <xm:f>'Stations Data'!$H$19</xm:f>
              </x14:cfvo>
              <x14:cfvo type="num">
                <xm:f>'Stations Data'!$N$19</xm:f>
              </x14:cfvo>
              <x14:fillColor theme="4" tint="0.59999389629810485"/>
              <x14:negativeFillColor rgb="FFFF0000"/>
              <x14:axisColor rgb="FF000000"/>
            </x14:dataBar>
          </x14:cfRule>
          <xm:sqref>D119:AB119</xm:sqref>
        </x14:conditionalFormatting>
        <x14:conditionalFormatting xmlns:xm="http://schemas.microsoft.com/office/excel/2006/main">
          <x14:cfRule type="dataBar" priority="230" id="{0381C1C1-E105-4339-8695-7B2998B78F42}">
            <x14:dataBar minLength="0" maxLength="100" gradient="0">
              <x14:cfvo type="num">
                <xm:f>'Stations Data'!$H$20</xm:f>
              </x14:cfvo>
              <x14:cfvo type="num">
                <xm:f>'Stations Data'!$N$20</xm:f>
              </x14:cfvo>
              <x14:fillColor theme="4" tint="0.59999389629810485"/>
              <x14:negativeFillColor rgb="FFFF0000"/>
              <x14:axisColor rgb="FF000000"/>
            </x14:dataBar>
          </x14:cfRule>
          <xm:sqref>D127:AA127</xm:sqref>
        </x14:conditionalFormatting>
        <x14:conditionalFormatting xmlns:xm="http://schemas.microsoft.com/office/excel/2006/main">
          <x14:cfRule type="dataBar" priority="181" id="{AAF07F02-41F3-4A73-BD30-37F989A85E3E}">
            <x14:dataBar minLength="0" maxLength="100" gradient="0">
              <x14:cfvo type="num">
                <xm:f>'Stations Data'!$H$3</xm:f>
              </x14:cfvo>
              <x14:cfvo type="num">
                <xm:f>'Stations Data'!$N$3</xm:f>
              </x14:cfvo>
              <x14:fillColor theme="4" tint="0.59999389629810485"/>
              <x14:negativeFillColor rgb="FFFF0000"/>
              <x14:axisColor rgb="FF000000"/>
            </x14:dataBar>
          </x14:cfRule>
          <xm:sqref>Q24:R24</xm:sqref>
        </x14:conditionalFormatting>
        <x14:conditionalFormatting xmlns:xm="http://schemas.microsoft.com/office/excel/2006/main">
          <x14:cfRule type="dataBar" priority="180" id="{F64B2823-5F62-4098-A587-13DB0D628A98}">
            <x14:dataBar minLength="0" maxLength="100" gradient="0">
              <x14:cfvo type="num">
                <xm:f>'Stations Data'!$H$3</xm:f>
              </x14:cfvo>
              <x14:cfvo type="num">
                <xm:f>'Stations Data'!$N$3</xm:f>
              </x14:cfvo>
              <x14:fillColor theme="4" tint="0.59999389629810485"/>
              <x14:negativeFillColor rgb="FFFF0000"/>
              <x14:axisColor rgb="FF000000"/>
            </x14:dataBar>
          </x14:cfRule>
          <xm:sqref>Q24</xm:sqref>
        </x14:conditionalFormatting>
        <x14:conditionalFormatting xmlns:xm="http://schemas.microsoft.com/office/excel/2006/main">
          <x14:cfRule type="dataBar" priority="163" id="{F7BA79A7-399F-462E-A93E-DDD69DA39066}">
            <x14:dataBar minLength="0" maxLength="100" gradient="0">
              <x14:cfvo type="num">
                <xm:f>'Stations Data'!$H$7</xm:f>
              </x14:cfvo>
              <x14:cfvo type="num">
                <xm:f>'Stations Data'!$N$7</xm:f>
              </x14:cfvo>
              <x14:fillColor theme="4" tint="0.59999389629810485"/>
              <x14:negativeFillColor rgb="FFFF0000"/>
              <x14:axisColor rgb="FF000000"/>
            </x14:dataBar>
          </x14:cfRule>
          <xm:sqref>D34:AA34</xm:sqref>
        </x14:conditionalFormatting>
        <x14:conditionalFormatting xmlns:xm="http://schemas.microsoft.com/office/excel/2006/main">
          <x14:cfRule type="dataBar" priority="135" id="{42F29CE4-36BA-4456-8666-96B8827539B8}">
            <x14:dataBar minLength="0" maxLength="100" gradient="0">
              <x14:cfvo type="num">
                <xm:f>'Stations Data'!$H$15</xm:f>
              </x14:cfvo>
              <x14:cfvo type="num">
                <xm:f>'Stations Data'!$N$15</xm:f>
              </x14:cfvo>
              <x14:fillColor theme="4" tint="0.59999389629810485"/>
              <x14:negativeFillColor rgb="FFFF0000"/>
              <x14:axisColor rgb="FF000000"/>
            </x14:dataBar>
          </x14:cfRule>
          <xm:sqref>D86:AA86</xm:sqref>
        </x14:conditionalFormatting>
        <x14:conditionalFormatting xmlns:xm="http://schemas.microsoft.com/office/excel/2006/main">
          <x14:cfRule type="dataBar" priority="123" id="{B123114A-8C5E-4BFE-B95B-B0D048A6AEFA}">
            <x14:dataBar minLength="0" maxLength="100" gradient="0">
              <x14:cfvo type="num">
                <xm:f>'Stations Data'!$H$3</xm:f>
              </x14:cfvo>
              <x14:cfvo type="num">
                <xm:f>'Stations Data'!$N$3</xm:f>
              </x14:cfvo>
              <x14:fillColor theme="4" tint="0.59999389629810485"/>
              <x14:negativeFillColor rgb="FFFF0000"/>
              <x14:axisColor rgb="FF000000"/>
            </x14:dataBar>
          </x14:cfRule>
          <xm:sqref>W24</xm:sqref>
        </x14:conditionalFormatting>
        <x14:conditionalFormatting xmlns:xm="http://schemas.microsoft.com/office/excel/2006/main">
          <x14:cfRule type="dataBar" priority="122" id="{7D7E50FB-A08A-4D01-A26F-E7E7D64A8560}">
            <x14:dataBar minLength="0" maxLength="100" gradient="0">
              <x14:cfvo type="num">
                <xm:f>'Stations Data'!$H$3</xm:f>
              </x14:cfvo>
              <x14:cfvo type="num">
                <xm:f>'Stations Data'!$N$3</xm:f>
              </x14:cfvo>
              <x14:fillColor theme="4" tint="0.59999389629810485"/>
              <x14:negativeFillColor rgb="FFFF0000"/>
              <x14:axisColor rgb="FF000000"/>
            </x14:dataBar>
          </x14:cfRule>
          <xm:sqref>W35</xm:sqref>
        </x14:conditionalFormatting>
        <x14:conditionalFormatting xmlns:xm="http://schemas.microsoft.com/office/excel/2006/main">
          <x14:cfRule type="dataBar" priority="121" id="{9912B146-F1CE-48AE-9F4D-D67D8A41B50F}">
            <x14:dataBar minLength="0" maxLength="100" gradient="0">
              <x14:cfvo type="num">
                <xm:f>'Stations Data'!$H$3</xm:f>
              </x14:cfvo>
              <x14:cfvo type="num">
                <xm:f>'Stations Data'!$N$3</xm:f>
              </x14:cfvo>
              <x14:fillColor theme="4" tint="0.59999389629810485"/>
              <x14:negativeFillColor rgb="FFFF0000"/>
              <x14:axisColor rgb="FF000000"/>
            </x14:dataBar>
          </x14:cfRule>
          <xm:sqref>W46</xm:sqref>
        </x14:conditionalFormatting>
        <x14:conditionalFormatting xmlns:xm="http://schemas.microsoft.com/office/excel/2006/main">
          <x14:cfRule type="dataBar" priority="120" id="{4DA7BA08-865F-4694-A0A3-C28DEE4A0F07}">
            <x14:dataBar minLength="0" maxLength="100" gradient="0">
              <x14:cfvo type="num">
                <xm:f>'Stations Data'!$H$3</xm:f>
              </x14:cfvo>
              <x14:cfvo type="num">
                <xm:f>'Stations Data'!$N$3</xm:f>
              </x14:cfvo>
              <x14:fillColor theme="4" tint="0.59999389629810485"/>
              <x14:negativeFillColor rgb="FFFF0000"/>
              <x14:axisColor rgb="FF000000"/>
            </x14:dataBar>
          </x14:cfRule>
          <xm:sqref>W67</xm:sqref>
        </x14:conditionalFormatting>
        <x14:conditionalFormatting xmlns:xm="http://schemas.microsoft.com/office/excel/2006/main">
          <x14:cfRule type="dataBar" priority="117" id="{93E26FD8-95AC-40B7-8E3F-69713FE1C8EB}">
            <x14:dataBar minLength="0" maxLength="100" gradient="0">
              <x14:cfvo type="num">
                <xm:f>'Stations Data'!$H$21</xm:f>
              </x14:cfvo>
              <x14:cfvo type="num">
                <xm:f>'Stations Data'!$N$21</xm:f>
              </x14:cfvo>
              <x14:fillColor theme="4" tint="0.59999389629810485"/>
              <x14:negativeFillColor rgb="FFFF0000"/>
              <x14:axisColor rgb="FF000000"/>
            </x14:dataBar>
          </x14:cfRule>
          <xm:sqref>D138:AA138</xm:sqref>
        </x14:conditionalFormatting>
        <x14:conditionalFormatting xmlns:xm="http://schemas.microsoft.com/office/excel/2006/main">
          <x14:cfRule type="dataBar" priority="108" id="{2712CB8B-C2DE-42DD-B697-11F925B72F0A}">
            <x14:dataBar minLength="0" maxLength="100" gradient="0">
              <x14:cfvo type="num">
                <xm:f>'Stations Data'!$H$3</xm:f>
              </x14:cfvo>
              <x14:cfvo type="num">
                <xm:f>'Stations Data'!$N$3</xm:f>
              </x14:cfvo>
              <x14:fillColor theme="4" tint="0.59999389629810485"/>
              <x14:negativeFillColor rgb="FFFF0000"/>
              <x14:axisColor rgb="FF000000"/>
            </x14:dataBar>
          </x14:cfRule>
          <xm:sqref>E158</xm:sqref>
        </x14:conditionalFormatting>
        <x14:conditionalFormatting xmlns:xm="http://schemas.microsoft.com/office/excel/2006/main">
          <x14:cfRule type="dataBar" priority="105" id="{B0AC726F-44AF-4A90-9F01-A49E419F6BFF}">
            <x14:dataBar minLength="0" maxLength="100" gradient="0">
              <x14:cfvo type="num">
                <xm:f>'Stations Data'!$H$3</xm:f>
              </x14:cfvo>
              <x14:cfvo type="num">
                <xm:f>'Stations Data'!$N$3</xm:f>
              </x14:cfvo>
              <x14:fillColor theme="4" tint="0.59999389629810485"/>
              <x14:negativeFillColor rgb="FFFF0000"/>
              <x14:axisColor rgb="FF000000"/>
            </x14:dataBar>
          </x14:cfRule>
          <xm:sqref>H158</xm:sqref>
        </x14:conditionalFormatting>
        <x14:conditionalFormatting xmlns:xm="http://schemas.microsoft.com/office/excel/2006/main">
          <x14:cfRule type="dataBar" priority="104" id="{00BF4612-A9AE-4935-8544-BD6550494C57}">
            <x14:dataBar minLength="0" maxLength="100" gradient="0">
              <x14:cfvo type="num">
                <xm:f>'Stations Data'!$H$3</xm:f>
              </x14:cfvo>
              <x14:cfvo type="num">
                <xm:f>'Stations Data'!$N$3</xm:f>
              </x14:cfvo>
              <x14:fillColor theme="4" tint="0.59999389629810485"/>
              <x14:negativeFillColor rgb="FFFF0000"/>
              <x14:axisColor rgb="FF000000"/>
            </x14:dataBar>
          </x14:cfRule>
          <xm:sqref>E165</xm:sqref>
        </x14:conditionalFormatting>
        <x14:conditionalFormatting xmlns:xm="http://schemas.microsoft.com/office/excel/2006/main">
          <x14:cfRule type="dataBar" priority="101" id="{C4AFF5A8-4C3B-4342-A178-A19C8EE84AC3}">
            <x14:dataBar minLength="0" maxLength="100" gradient="0">
              <x14:cfvo type="num">
                <xm:f>'Stations Data'!$H$3</xm:f>
              </x14:cfvo>
              <x14:cfvo type="num">
                <xm:f>'Stations Data'!$N$3</xm:f>
              </x14:cfvo>
              <x14:fillColor theme="4" tint="0.59999389629810485"/>
              <x14:negativeFillColor rgb="FFFF0000"/>
              <x14:axisColor rgb="FF000000"/>
            </x14:dataBar>
          </x14:cfRule>
          <xm:sqref>H165</xm:sqref>
        </x14:conditionalFormatting>
        <x14:conditionalFormatting xmlns:xm="http://schemas.microsoft.com/office/excel/2006/main">
          <x14:cfRule type="dataBar" priority="100" id="{97003072-6FA0-4DB1-839A-AD3C1481A7A9}">
            <x14:dataBar minLength="0" maxLength="100" gradient="0">
              <x14:cfvo type="num">
                <xm:f>'Stations Data'!$H$3</xm:f>
              </x14:cfvo>
              <x14:cfvo type="num">
                <xm:f>'Stations Data'!$N$3</xm:f>
              </x14:cfvo>
              <x14:fillColor theme="4" tint="0.59999389629810485"/>
              <x14:negativeFillColor rgb="FFFF0000"/>
              <x14:axisColor rgb="FF000000"/>
            </x14:dataBar>
          </x14:cfRule>
          <xm:sqref>S179</xm:sqref>
        </x14:conditionalFormatting>
        <x14:conditionalFormatting xmlns:xm="http://schemas.microsoft.com/office/excel/2006/main">
          <x14:cfRule type="dataBar" priority="97" id="{2A3DD220-323C-4793-83A9-425369532F78}">
            <x14:dataBar minLength="0" maxLength="100" gradient="0">
              <x14:cfvo type="num">
                <xm:f>'Stations Data'!$H$3</xm:f>
              </x14:cfvo>
              <x14:cfvo type="num">
                <xm:f>'Stations Data'!$N$3</xm:f>
              </x14:cfvo>
              <x14:fillColor theme="4" tint="0.59999389629810485"/>
              <x14:negativeFillColor rgb="FFFF0000"/>
              <x14:axisColor rgb="FF000000"/>
            </x14:dataBar>
          </x14:cfRule>
          <xm:sqref>H184</xm:sqref>
        </x14:conditionalFormatting>
        <x14:conditionalFormatting xmlns:xm="http://schemas.microsoft.com/office/excel/2006/main">
          <x14:cfRule type="dataBar" priority="90" id="{96849713-EBEC-4CCD-9C80-D51F616AA2AE}">
            <x14:dataBar minLength="0" maxLength="100" gradient="0">
              <x14:cfvo type="num">
                <xm:f>'Stations Data'!$H$3</xm:f>
              </x14:cfvo>
              <x14:cfvo type="num">
                <xm:f>'Stations Data'!$N$3</xm:f>
              </x14:cfvo>
              <x14:fillColor theme="4" tint="0.59999389629810485"/>
              <x14:negativeFillColor rgb="FFFF0000"/>
              <x14:axisColor rgb="FF000000"/>
            </x14:dataBar>
          </x14:cfRule>
          <xm:sqref>I190</xm:sqref>
        </x14:conditionalFormatting>
        <x14:conditionalFormatting xmlns:xm="http://schemas.microsoft.com/office/excel/2006/main">
          <x14:cfRule type="dataBar" priority="87" id="{A881C074-F286-4C11-81A8-8D3178686373}">
            <x14:dataBar minLength="0" maxLength="100" gradient="0">
              <x14:cfvo type="num">
                <xm:f>'Stations Data'!$H$3</xm:f>
              </x14:cfvo>
              <x14:cfvo type="num">
                <xm:f>'Stations Data'!$N$3</xm:f>
              </x14:cfvo>
              <x14:fillColor theme="4" tint="0.59999389629810485"/>
              <x14:negativeFillColor rgb="FFFF0000"/>
              <x14:axisColor rgb="FF000000"/>
            </x14:dataBar>
          </x14:cfRule>
          <xm:sqref>H190</xm:sqref>
        </x14:conditionalFormatting>
        <x14:conditionalFormatting xmlns:xm="http://schemas.microsoft.com/office/excel/2006/main">
          <x14:cfRule type="dataBar" priority="86" id="{ACFD3ED5-23F3-4942-894B-B5F8911BCAFF}">
            <x14:dataBar minLength="0" maxLength="100" gradient="0">
              <x14:cfvo type="num">
                <xm:f>'Stations Data'!$H$3</xm:f>
              </x14:cfvo>
              <x14:cfvo type="num">
                <xm:f>'Stations Data'!$N$3</xm:f>
              </x14:cfvo>
              <x14:fillColor theme="4" tint="0.59999389629810485"/>
              <x14:negativeFillColor rgb="FFFF0000"/>
              <x14:axisColor rgb="FF000000"/>
            </x14:dataBar>
          </x14:cfRule>
          <xm:sqref>S190</xm:sqref>
        </x14:conditionalFormatting>
        <x14:conditionalFormatting xmlns:xm="http://schemas.microsoft.com/office/excel/2006/main">
          <x14:cfRule type="dataBar" priority="83" id="{0E27C199-3497-4360-B719-9F74C5153246}">
            <x14:dataBar minLength="0" maxLength="100" gradient="0">
              <x14:cfvo type="num">
                <xm:f>'Stations Data'!$H$3</xm:f>
              </x14:cfvo>
              <x14:cfvo type="num">
                <xm:f>'Stations Data'!$N$3</xm:f>
              </x14:cfvo>
              <x14:fillColor theme="4" tint="0.59999389629810485"/>
              <x14:negativeFillColor rgb="FFFF0000"/>
              <x14:axisColor rgb="FF000000"/>
            </x14:dataBar>
          </x14:cfRule>
          <xm:sqref>E201</xm:sqref>
        </x14:conditionalFormatting>
        <x14:conditionalFormatting xmlns:xm="http://schemas.microsoft.com/office/excel/2006/main">
          <x14:cfRule type="dataBar" priority="82" id="{1B68C0BE-DB8F-4404-B8E5-68ECD0803A5D}">
            <x14:dataBar minLength="0" maxLength="100" gradient="0">
              <x14:cfvo type="num">
                <xm:f>'Stations Data'!$H$3</xm:f>
              </x14:cfvo>
              <x14:cfvo type="num">
                <xm:f>'Stations Data'!$N$3</xm:f>
              </x14:cfvo>
              <x14:fillColor theme="4" tint="0.59999389629810485"/>
              <x14:negativeFillColor rgb="FFFF0000"/>
              <x14:axisColor rgb="FF000000"/>
            </x14:dataBar>
          </x14:cfRule>
          <xm:sqref>H201</xm:sqref>
        </x14:conditionalFormatting>
        <x14:conditionalFormatting xmlns:xm="http://schemas.microsoft.com/office/excel/2006/main">
          <x14:cfRule type="dataBar" priority="81" id="{7F7A9AC4-B692-4E3D-95D1-A7E7B7FA593F}">
            <x14:dataBar minLength="0" maxLength="100" gradient="0">
              <x14:cfvo type="num">
                <xm:f>'Stations Data'!$H$3</xm:f>
              </x14:cfvo>
              <x14:cfvo type="num">
                <xm:f>'Stations Data'!$N$3</xm:f>
              </x14:cfvo>
              <x14:fillColor theme="4" tint="0.59999389629810485"/>
              <x14:negativeFillColor rgb="FFFF0000"/>
              <x14:axisColor rgb="FF000000"/>
            </x14:dataBar>
          </x14:cfRule>
          <xm:sqref>S201</xm:sqref>
        </x14:conditionalFormatting>
        <x14:conditionalFormatting xmlns:xm="http://schemas.microsoft.com/office/excel/2006/main">
          <x14:cfRule type="dataBar" priority="78" id="{68132207-D1B3-4FE0-8C47-E3EA2E3869BF}">
            <x14:dataBar minLength="0" maxLength="100" gradient="0">
              <x14:cfvo type="num">
                <xm:f>'Stations Data'!$H$3</xm:f>
              </x14:cfvo>
              <x14:cfvo type="num">
                <xm:f>'Stations Data'!$N$3</xm:f>
              </x14:cfvo>
              <x14:fillColor theme="4" tint="0.59999389629810485"/>
              <x14:negativeFillColor rgb="FFFF0000"/>
              <x14:axisColor rgb="FF000000"/>
            </x14:dataBar>
          </x14:cfRule>
          <xm:sqref>I216</xm:sqref>
        </x14:conditionalFormatting>
        <x14:conditionalFormatting xmlns:xm="http://schemas.microsoft.com/office/excel/2006/main">
          <x14:cfRule type="dataBar" priority="77" id="{D939C1BF-3D58-4D61-B1C9-CF0A3CE679FC}">
            <x14:dataBar minLength="0" maxLength="100" gradient="0">
              <x14:cfvo type="num">
                <xm:f>'Stations Data'!$H$3</xm:f>
              </x14:cfvo>
              <x14:cfvo type="num">
                <xm:f>'Stations Data'!$N$3</xm:f>
              </x14:cfvo>
              <x14:fillColor theme="4" tint="0.59999389629810485"/>
              <x14:negativeFillColor rgb="FFFF0000"/>
              <x14:axisColor rgb="FF000000"/>
            </x14:dataBar>
          </x14:cfRule>
          <xm:sqref>H216</xm:sqref>
        </x14:conditionalFormatting>
        <x14:conditionalFormatting xmlns:xm="http://schemas.microsoft.com/office/excel/2006/main">
          <x14:cfRule type="dataBar" priority="76" id="{F842C334-AB68-4565-BC95-803CCD62864D}">
            <x14:dataBar minLength="0" maxLength="100" gradient="0">
              <x14:cfvo type="num">
                <xm:f>'Stations Data'!$H$3</xm:f>
              </x14:cfvo>
              <x14:cfvo type="num">
                <xm:f>'Stations Data'!$N$3</xm:f>
              </x14:cfvo>
              <x14:fillColor theme="4" tint="0.59999389629810485"/>
              <x14:negativeFillColor rgb="FFFF0000"/>
              <x14:axisColor rgb="FF000000"/>
            </x14:dataBar>
          </x14:cfRule>
          <xm:sqref>S216</xm:sqref>
        </x14:conditionalFormatting>
        <x14:conditionalFormatting xmlns:xm="http://schemas.microsoft.com/office/excel/2006/main">
          <x14:cfRule type="dataBar" priority="73" id="{7324D5F0-D5EE-49F8-B763-2F2A87638A95}">
            <x14:dataBar minLength="0" maxLength="100" gradient="0">
              <x14:cfvo type="num">
                <xm:f>'Stations Data'!$H$3</xm:f>
              </x14:cfvo>
              <x14:cfvo type="num">
                <xm:f>'Stations Data'!$N$3</xm:f>
              </x14:cfvo>
              <x14:fillColor theme="4" tint="0.59999389629810485"/>
              <x14:negativeFillColor rgb="FFFF0000"/>
              <x14:axisColor rgb="FF000000"/>
            </x14:dataBar>
          </x14:cfRule>
          <xm:sqref>E225</xm:sqref>
        </x14:conditionalFormatting>
        <x14:conditionalFormatting xmlns:xm="http://schemas.microsoft.com/office/excel/2006/main">
          <x14:cfRule type="dataBar" priority="72" id="{22710DFC-9236-4D40-A3F0-D3368B3BBF5F}">
            <x14:dataBar minLength="0" maxLength="100" gradient="0">
              <x14:cfvo type="num">
                <xm:f>'Stations Data'!$H$3</xm:f>
              </x14:cfvo>
              <x14:cfvo type="num">
                <xm:f>'Stations Data'!$N$3</xm:f>
              </x14:cfvo>
              <x14:fillColor theme="4" tint="0.59999389629810485"/>
              <x14:negativeFillColor rgb="FFFF0000"/>
              <x14:axisColor rgb="FF000000"/>
            </x14:dataBar>
          </x14:cfRule>
          <xm:sqref>H225</xm:sqref>
        </x14:conditionalFormatting>
        <x14:conditionalFormatting xmlns:xm="http://schemas.microsoft.com/office/excel/2006/main">
          <x14:cfRule type="dataBar" priority="71" id="{67787BCC-7CE3-46EE-B80F-C83FD1E123E9}">
            <x14:dataBar minLength="0" maxLength="100" gradient="0">
              <x14:cfvo type="num">
                <xm:f>'Stations Data'!$H$3</xm:f>
              </x14:cfvo>
              <x14:cfvo type="num">
                <xm:f>'Stations Data'!$N$3</xm:f>
              </x14:cfvo>
              <x14:fillColor theme="4" tint="0.59999389629810485"/>
              <x14:negativeFillColor rgb="FFFF0000"/>
              <x14:axisColor rgb="FF000000"/>
            </x14:dataBar>
          </x14:cfRule>
          <xm:sqref>S225</xm:sqref>
        </x14:conditionalFormatting>
        <x14:conditionalFormatting xmlns:xm="http://schemas.microsoft.com/office/excel/2006/main">
          <x14:cfRule type="dataBar" priority="68" id="{009548E6-7C29-490C-A017-B19B46F48FB0}">
            <x14:dataBar minLength="0" maxLength="100" gradient="0">
              <x14:cfvo type="num">
                <xm:f>'Stations Data'!$H$3</xm:f>
              </x14:cfvo>
              <x14:cfvo type="num">
                <xm:f>'Stations Data'!$N$3</xm:f>
              </x14:cfvo>
              <x14:fillColor theme="4" tint="0.59999389629810485"/>
              <x14:negativeFillColor rgb="FFFF0000"/>
              <x14:axisColor rgb="FF000000"/>
            </x14:dataBar>
          </x14:cfRule>
          <xm:sqref>S234</xm:sqref>
        </x14:conditionalFormatting>
        <x14:conditionalFormatting xmlns:xm="http://schemas.microsoft.com/office/excel/2006/main">
          <x14:cfRule type="dataBar" priority="65" id="{789431FA-BDCE-49A3-90F0-A3E7193E4F88}">
            <x14:dataBar minLength="0" maxLength="100" gradient="0">
              <x14:cfvo type="num">
                <xm:f>'Stations Data'!$H$3</xm:f>
              </x14:cfvo>
              <x14:cfvo type="num">
                <xm:f>'Stations Data'!$N$3</xm:f>
              </x14:cfvo>
              <x14:fillColor theme="4" tint="0.59999389629810485"/>
              <x14:negativeFillColor rgb="FFFF0000"/>
              <x14:axisColor rgb="FF000000"/>
            </x14:dataBar>
          </x14:cfRule>
          <xm:sqref>S209</xm:sqref>
        </x14:conditionalFormatting>
        <x14:conditionalFormatting xmlns:xm="http://schemas.microsoft.com/office/excel/2006/main">
          <x14:cfRule type="dataBar" priority="62" id="{A8594424-F423-4DF2-8BB6-2F3A82EF9A73}">
            <x14:dataBar minLength="0" maxLength="100" gradient="0">
              <x14:cfvo type="num">
                <xm:f>'Stations Data'!$H$3</xm:f>
              </x14:cfvo>
              <x14:cfvo type="num">
                <xm:f>'Stations Data'!$N$3</xm:f>
              </x14:cfvo>
              <x14:fillColor theme="4" tint="0.59999389629810485"/>
              <x14:negativeFillColor rgb="FFFF0000"/>
              <x14:axisColor rgb="FF000000"/>
            </x14:dataBar>
          </x14:cfRule>
          <xm:sqref>S242</xm:sqref>
        </x14:conditionalFormatting>
        <x14:conditionalFormatting xmlns:xm="http://schemas.microsoft.com/office/excel/2006/main">
          <x14:cfRule type="dataBar" priority="57" id="{AB69A2E7-BB9A-43C2-A572-817BEAB72040}">
            <x14:dataBar minLength="0" maxLength="100" gradient="0">
              <x14:cfvo type="num">
                <xm:f>'Stations Data'!$H$3</xm:f>
              </x14:cfvo>
              <x14:cfvo type="num">
                <xm:f>'Stations Data'!$N$3</xm:f>
              </x14:cfvo>
              <x14:fillColor theme="4" tint="0.59999389629810485"/>
              <x14:negativeFillColor rgb="FFFF0000"/>
              <x14:axisColor rgb="FF000000"/>
            </x14:dataBar>
          </x14:cfRule>
          <xm:sqref>E242</xm:sqref>
        </x14:conditionalFormatting>
        <x14:conditionalFormatting xmlns:xm="http://schemas.microsoft.com/office/excel/2006/main">
          <x14:cfRule type="dataBar" priority="56" id="{2E5FB3A9-8282-4970-8A68-DCBAC49E6153}">
            <x14:dataBar minLength="0" maxLength="100" gradient="0">
              <x14:cfvo type="num">
                <xm:f>'Stations Data'!$H$3</xm:f>
              </x14:cfvo>
              <x14:cfvo type="num">
                <xm:f>'Stations Data'!$N$3</xm:f>
              </x14:cfvo>
              <x14:fillColor theme="4" tint="0.59999389629810485"/>
              <x14:negativeFillColor rgb="FFFF0000"/>
              <x14:axisColor rgb="FF000000"/>
            </x14:dataBar>
          </x14:cfRule>
          <xm:sqref>H242</xm:sqref>
        </x14:conditionalFormatting>
        <x14:conditionalFormatting xmlns:xm="http://schemas.microsoft.com/office/excel/2006/main">
          <x14:cfRule type="dataBar" priority="55" id="{6CB5E55B-1BEC-43B7-A7BF-00618CC8A761}">
            <x14:dataBar minLength="0" maxLength="100" gradient="0">
              <x14:cfvo type="num">
                <xm:f>'Stations Data'!$H$3</xm:f>
              </x14:cfvo>
              <x14:cfvo type="num">
                <xm:f>'Stations Data'!$N$3</xm:f>
              </x14:cfvo>
              <x14:fillColor theme="4" tint="0.59999389629810485"/>
              <x14:negativeFill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priority="54" id="{3CD3BA7C-6C6E-4A42-8A9D-8B0D9FCD1591}">
            <x14:dataBar minLength="0" maxLength="100" gradient="0">
              <x14:cfvo type="num">
                <xm:f>'Stations Data'!$H$3</xm:f>
              </x14:cfvo>
              <x14:cfvo type="num">
                <xm:f>'Stations Data'!$N$3</xm:f>
              </x14:cfvo>
              <x14:fillColor theme="4" tint="0.59999389629810485"/>
              <x14:negativeFillColor rgb="FFFF0000"/>
              <x14:axisColor rgb="FF000000"/>
            </x14:dataBar>
          </x14:cfRule>
          <xm:sqref>H246</xm:sqref>
        </x14:conditionalFormatting>
        <x14:conditionalFormatting xmlns:xm="http://schemas.microsoft.com/office/excel/2006/main">
          <x14:cfRule type="dataBar" priority="53" id="{69071C9B-7B89-4DCD-90AA-AB655E0BB543}">
            <x14:dataBar minLength="0" maxLength="100" gradient="0">
              <x14:cfvo type="num">
                <xm:f>'Stations Data'!$H$3</xm:f>
              </x14:cfvo>
              <x14:cfvo type="num">
                <xm:f>'Stations Data'!$N$3</xm:f>
              </x14:cfvo>
              <x14:fillColor theme="4" tint="0.59999389629810485"/>
              <x14:negativeFillColor rgb="FFFF0000"/>
              <x14:axisColor rgb="FF000000"/>
            </x14:dataBar>
          </x14:cfRule>
          <xm:sqref>E250</xm:sqref>
        </x14:conditionalFormatting>
        <x14:conditionalFormatting xmlns:xm="http://schemas.microsoft.com/office/excel/2006/main">
          <x14:cfRule type="dataBar" priority="52" id="{27E1FA1A-3767-4F6E-BE9D-7B8ED417878D}">
            <x14:dataBar minLength="0" maxLength="100" gradient="0">
              <x14:cfvo type="num">
                <xm:f>'Stations Data'!$H$3</xm:f>
              </x14:cfvo>
              <x14:cfvo type="num">
                <xm:f>'Stations Data'!$N$3</xm:f>
              </x14:cfvo>
              <x14:fillColor theme="4" tint="0.59999389629810485"/>
              <x14:negativeFillColor rgb="FFFF0000"/>
              <x14:axisColor rgb="FF000000"/>
            </x14:dataBar>
          </x14:cfRule>
          <xm:sqref>H250</xm:sqref>
        </x14:conditionalFormatting>
        <x14:conditionalFormatting xmlns:xm="http://schemas.microsoft.com/office/excel/2006/main">
          <x14:cfRule type="dataBar" priority="50" id="{2E548767-5F8C-453E-9EE8-7C2F85B8E4CE}">
            <x14:dataBar minLength="0" maxLength="100" gradient="0">
              <x14:cfvo type="num">
                <xm:f>'Stations Data'!$H$3</xm:f>
              </x14:cfvo>
              <x14:cfvo type="num">
                <xm:f>'Stations Data'!$N$3</xm:f>
              </x14:cfvo>
              <x14:fillColor theme="4" tint="0.59999389629810485"/>
              <x14:negativeFillColor rgb="FFFF0000"/>
              <x14:axisColor rgb="FF000000"/>
            </x14:dataBar>
          </x14:cfRule>
          <xm:sqref>E172</xm:sqref>
        </x14:conditionalFormatting>
        <x14:conditionalFormatting xmlns:xm="http://schemas.microsoft.com/office/excel/2006/main">
          <x14:cfRule type="dataBar" priority="47" id="{9F5E5F62-0096-4BFD-8D01-092937A8DCA1}">
            <x14:dataBar minLength="0" maxLength="100" gradient="0">
              <x14:cfvo type="num">
                <xm:f>'Stations Data'!$H$3</xm:f>
              </x14:cfvo>
              <x14:cfvo type="num">
                <xm:f>'Stations Data'!$N$3</xm:f>
              </x14:cfvo>
              <x14:fillColor theme="4" tint="0.59999389629810485"/>
              <x14:negativeFillColor rgb="FFFF0000"/>
              <x14:axisColor rgb="FF000000"/>
            </x14:dataBar>
          </x14:cfRule>
          <xm:sqref>H172</xm:sqref>
        </x14:conditionalFormatting>
        <x14:conditionalFormatting xmlns:xm="http://schemas.microsoft.com/office/excel/2006/main">
          <x14:cfRule type="dataBar" priority="44" id="{64ADC94B-BFEB-4CA5-A17C-9CC754DACE3E}">
            <x14:dataBar minLength="0" maxLength="100" gradient="0">
              <x14:cfvo type="num">
                <xm:f>'Stations Data'!$H$25</xm:f>
              </x14:cfvo>
              <x14:cfvo type="num">
                <xm:f>'Stations Data'!$N$25</xm:f>
              </x14:cfvo>
              <x14:fillColor theme="4" tint="0.59999389629810485"/>
              <x14:negativeFillColor rgb="FFFF0000"/>
              <x14:axisColor rgb="FF000000"/>
            </x14:dataBar>
          </x14:cfRule>
          <xm:sqref>D156:AA156</xm:sqref>
        </x14:conditionalFormatting>
        <x14:conditionalFormatting xmlns:xm="http://schemas.microsoft.com/office/excel/2006/main">
          <x14:cfRule type="dataBar" priority="42" id="{C1A27F2E-BA9F-4822-864E-44FAA2D889CD}">
            <x14:dataBar minLength="0" maxLength="100" gradient="0">
              <x14:cfvo type="num">
                <xm:f>'Stations Data'!$H$30</xm:f>
              </x14:cfvo>
              <x14:cfvo type="num">
                <xm:f>'Stations Data'!$N$30</xm:f>
              </x14:cfvo>
              <x14:fillColor theme="4" tint="0.59999389629810485"/>
              <x14:negativeFillColor rgb="FFFF0000"/>
              <x14:axisColor rgb="FF000000"/>
            </x14:dataBar>
          </x14:cfRule>
          <xm:sqref>D188:AA188</xm:sqref>
        </x14:conditionalFormatting>
        <x14:conditionalFormatting xmlns:xm="http://schemas.microsoft.com/office/excel/2006/main">
          <x14:cfRule type="dataBar" priority="38" id="{78DF8C8F-2687-47A6-98D9-BBA4E03EE396}">
            <x14:dataBar minLength="0" maxLength="100" gradient="0">
              <x14:cfvo type="num">
                <xm:f>'Stations Data'!$H$31</xm:f>
              </x14:cfvo>
              <x14:cfvo type="num">
                <xm:f>'Stations Data'!$N$31</xm:f>
              </x14:cfvo>
              <x14:fillColor theme="4" tint="0.59999389629810485"/>
              <x14:negativeFillColor rgb="FFFF0000"/>
              <x14:axisColor rgb="FF000000"/>
            </x14:dataBar>
          </x14:cfRule>
          <xm:sqref>D199:AA199</xm:sqref>
        </x14:conditionalFormatting>
        <x14:conditionalFormatting xmlns:xm="http://schemas.microsoft.com/office/excel/2006/main">
          <x14:cfRule type="dataBar" priority="37" id="{A3B50F27-A914-462E-9AD3-1DD1D42A8A46}">
            <x14:dataBar minLength="0" maxLength="100" gradient="0">
              <x14:cfvo type="num">
                <xm:f>'Stations Data'!$H$33</xm:f>
              </x14:cfvo>
              <x14:cfvo type="num">
                <xm:f>'Stations Data'!$N$33</xm:f>
              </x14:cfvo>
              <x14:fillColor theme="4" tint="0.59999389629810485"/>
              <x14:negativeFillColor rgb="FFFF0000"/>
              <x14:axisColor rgb="FF000000"/>
            </x14:dataBar>
          </x14:cfRule>
          <xm:sqref>D207:AA207</xm:sqref>
        </x14:conditionalFormatting>
        <x14:conditionalFormatting xmlns:xm="http://schemas.microsoft.com/office/excel/2006/main">
          <x14:cfRule type="dataBar" priority="36" id="{E490D96C-BC02-4CA0-BC58-02075216E572}">
            <x14:dataBar minLength="0" maxLength="100" gradient="0">
              <x14:cfvo type="num">
                <xm:f>'Stations Data'!$H$3</xm:f>
              </x14:cfvo>
              <x14:cfvo type="num">
                <xm:f>'Stations Data'!$N$3</xm:f>
              </x14:cfvo>
              <x14:fillColor theme="4" tint="0.59999389629810485"/>
              <x14:negativeFillColor rgb="FFFF0000"/>
              <x14:axisColor rgb="FF000000"/>
            </x14:dataBar>
          </x14:cfRule>
          <xm:sqref>H209</xm:sqref>
        </x14:conditionalFormatting>
        <x14:conditionalFormatting xmlns:xm="http://schemas.microsoft.com/office/excel/2006/main">
          <x14:cfRule type="dataBar" priority="35" id="{FFEF5865-0714-404A-B845-2C9B0B69886B}">
            <x14:dataBar minLength="0" maxLength="100" gradient="0">
              <x14:cfvo type="num">
                <xm:f>'Stations Data'!$H$3</xm:f>
              </x14:cfvo>
              <x14:cfvo type="num">
                <xm:f>'Stations Data'!$N$3</xm:f>
              </x14:cfvo>
              <x14:fillColor theme="4" tint="0.59999389629810485"/>
              <x14:negativeFillColor rgb="FFFF0000"/>
              <x14:axisColor rgb="FF000000"/>
            </x14:dataBar>
          </x14:cfRule>
          <xm:sqref>P209</xm:sqref>
        </x14:conditionalFormatting>
        <x14:conditionalFormatting xmlns:xm="http://schemas.microsoft.com/office/excel/2006/main">
          <x14:cfRule type="dataBar" priority="30" id="{FDB4F8FC-476A-4BD4-B171-2D36141F233B}">
            <x14:dataBar minLength="0" maxLength="100" gradient="0">
              <x14:cfvo type="num">
                <xm:f>'Stations Data'!$H$36</xm:f>
              </x14:cfvo>
              <x14:cfvo type="num">
                <xm:f>'Stations Data'!$N$36</xm:f>
              </x14:cfvo>
              <x14:fillColor theme="4" tint="0.59999389629810485"/>
              <x14:negativeFillColor rgb="FFFF0000"/>
              <x14:axisColor rgb="FF000000"/>
            </x14:dataBar>
          </x14:cfRule>
          <xm:sqref>D232:AA232</xm:sqref>
        </x14:conditionalFormatting>
        <x14:conditionalFormatting xmlns:xm="http://schemas.microsoft.com/office/excel/2006/main">
          <x14:cfRule type="dataBar" priority="29" id="{F939DC6A-F6A0-482D-9C7A-844B1B945422}">
            <x14:dataBar minLength="0" maxLength="100" gradient="0">
              <x14:cfvo type="num">
                <xm:f>'Stations Data'!$H$38</xm:f>
              </x14:cfvo>
              <x14:cfvo type="num">
                <xm:f>'Stations Data'!$N$38</xm:f>
              </x14:cfvo>
              <x14:fillColor theme="4" tint="0.59999389629810485"/>
              <x14:negativeFillColor rgb="FFFF0000"/>
              <x14:axisColor rgb="FF000000"/>
            </x14:dataBar>
          </x14:cfRule>
          <xm:sqref>D240:AA240</xm:sqref>
        </x14:conditionalFormatting>
        <x14:conditionalFormatting xmlns:xm="http://schemas.microsoft.com/office/excel/2006/main">
          <x14:cfRule type="dataBar" priority="28" id="{1CA270F9-5503-4C95-8752-455331B16B84}">
            <x14:dataBar minLength="0" maxLength="100" gradient="0">
              <x14:cfvo type="num">
                <xm:f>'Stations Data'!$H$3</xm:f>
              </x14:cfvo>
              <x14:cfvo type="num">
                <xm:f>'Stations Data'!$N$3</xm:f>
              </x14:cfvo>
              <x14:fillColor theme="4" tint="0.59999389629810485"/>
              <x14:negativeFillColor rgb="FFFF0000"/>
              <x14:axisColor rgb="FF000000"/>
            </x14:dataBar>
          </x14:cfRule>
          <xm:sqref>P246</xm:sqref>
        </x14:conditionalFormatting>
        <x14:conditionalFormatting xmlns:xm="http://schemas.microsoft.com/office/excel/2006/main">
          <x14:cfRule type="dataBar" priority="27" id="{3029867D-0609-4EDD-BC73-4427B4BFAB1F}">
            <x14:dataBar minLength="0" maxLength="100" gradient="0">
              <x14:cfvo type="num">
                <xm:f>'Stations Data'!$H$3</xm:f>
              </x14:cfvo>
              <x14:cfvo type="num">
                <xm:f>'Stations Data'!$N$3</xm:f>
              </x14:cfvo>
              <x14:fillColor theme="4" tint="0.59999389629810485"/>
              <x14:negativeFillColor rgb="FFFF0000"/>
              <x14:axisColor rgb="FF000000"/>
            </x14:dataBar>
          </x14:cfRule>
          <xm:sqref>P242</xm:sqref>
        </x14:conditionalFormatting>
        <x14:conditionalFormatting xmlns:xm="http://schemas.microsoft.com/office/excel/2006/main">
          <x14:cfRule type="dataBar" priority="26" id="{E20D9A4F-0724-4FFC-B447-59890F682BDB}">
            <x14:dataBar minLength="0" maxLength="100" gradient="0">
              <x14:cfvo type="num">
                <xm:f>'Stations Data'!$H$3</xm:f>
              </x14:cfvo>
              <x14:cfvo type="num">
                <xm:f>'Stations Data'!$N$3</xm:f>
              </x14:cfvo>
              <x14:fillColor theme="4" tint="0.59999389629810485"/>
              <x14:negativeFillColor rgb="FFFF0000"/>
              <x14:axisColor rgb="FF000000"/>
            </x14:dataBar>
          </x14:cfRule>
          <xm:sqref>P250</xm:sqref>
        </x14:conditionalFormatting>
        <x14:conditionalFormatting xmlns:xm="http://schemas.microsoft.com/office/excel/2006/main">
          <x14:cfRule type="dataBar" priority="23" id="{3FCCA9DF-2471-4553-A041-D64824E7F06D}">
            <x14:dataBar minLength="0" maxLength="100" gradient="0">
              <x14:cfvo type="num">
                <xm:f>'Stations Data'!$H$3</xm:f>
              </x14:cfvo>
              <x14:cfvo type="num">
                <xm:f>'Stations Data'!$N$3</xm:f>
              </x14:cfvo>
              <x14:fillColor theme="4" tint="0.59999389629810485"/>
              <x14:negativeFillColor rgb="FFFF0000"/>
              <x14:axisColor rgb="FF000000"/>
            </x14:dataBar>
          </x14:cfRule>
          <xm:sqref>D11:AA11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</vt:lpstr>
      <vt:lpstr>Stations Data</vt:lpstr>
      <vt:lpstr>Demand</vt:lpstr>
      <vt:lpstr>Total network optimization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A Y Abdallah (TRANSCO)</dc:creator>
  <cp:lastModifiedBy>Mohammed A Y Abdallah (TRANSCO)</cp:lastModifiedBy>
  <dcterms:created xsi:type="dcterms:W3CDTF">2020-04-08T16:16:02Z</dcterms:created>
  <dcterms:modified xsi:type="dcterms:W3CDTF">2021-04-12T04:51:14Z</dcterms:modified>
</cp:coreProperties>
</file>