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3.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7.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8.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9.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0.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1.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12.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13.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14.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hidePivotFieldList="1"/>
  <xr:revisionPtr revIDLastSave="0" documentId="13_ncr:1_{12F6435E-499E-4D53-AD0C-180E2296C489}" xr6:coauthVersionLast="47" xr6:coauthVersionMax="47" xr10:uidLastSave="{00000000-0000-0000-0000-000000000000}"/>
  <bookViews>
    <workbookView xWindow="-110" yWindow="-110" windowWidth="19420" windowHeight="10420" tabRatio="271" firstSheet="1" activeTab="1" xr2:uid="{00000000-000D-0000-FFFF-FFFF00000000}"/>
  </bookViews>
  <sheets>
    <sheet name="Mterics" sheetId="18" state="hidden" r:id="rId1"/>
    <sheet name="Project analysis" sheetId="2" r:id="rId2"/>
    <sheet name="Sheet10" sheetId="45" state="hidden" r:id="rId3"/>
    <sheet name="Project Revenue_Metrics_Outflow" sheetId="36" state="hidden" r:id="rId4"/>
    <sheet name="Pivot in-outflow" sheetId="41" state="hidden" r:id="rId5"/>
    <sheet name="Seasonal Forcast for 2024" sheetId="19" state="hidden" r:id="rId6"/>
    <sheet name="Exponential Triple Smoothing" sheetId="5" state="hidden" r:id="rId7"/>
    <sheet name="Linear Regression Forecasting" sheetId="34" state="hidden" r:id="rId8"/>
    <sheet name="Autoregressive integrated movin" sheetId="35" state="hidden" r:id="rId9"/>
    <sheet name="Project-A" sheetId="27" state="hidden" r:id="rId10"/>
    <sheet name="Project-B" sheetId="28" state="hidden" r:id="rId11"/>
    <sheet name="Project-C" sheetId="29" state="hidden" r:id="rId12"/>
    <sheet name="Project-F1" sheetId="30" state="hidden" r:id="rId13"/>
    <sheet name="Project-F2" sheetId="31" state="hidden" r:id="rId14"/>
    <sheet name="Forex-USD" sheetId="32" state="hidden" r:id="rId15"/>
    <sheet name="Forex-RMB" sheetId="33" state="hidden" r:id="rId16"/>
  </sheets>
  <externalReferences>
    <externalReference r:id="rId17"/>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licer_Metrics">#N/A</definedName>
    <definedName name="Slicer_Metrics1">#N/A</definedName>
    <definedName name="Slicer_Type">#N/A</definedName>
    <definedName name="Slicer_Year_Quarter">#N/A</definedName>
  </definedNames>
  <calcPr calcId="191029"/>
  <pivotCaches>
    <pivotCache cacheId="0" r:id="rId18"/>
    <pivotCache cacheId="1" r:id="rId19"/>
  </pivotCaches>
  <extLs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4" i="36" l="1" a="1"/>
  <c r="A24" i="36" s="1"/>
  <c r="H14" i="36" l="1"/>
  <c r="I14" i="36" s="1"/>
  <c r="F14" i="36"/>
  <c r="G14" i="36" s="1"/>
  <c r="E14" i="36"/>
  <c r="D14" i="36"/>
  <c r="C14" i="36"/>
  <c r="H13" i="36"/>
  <c r="I13" i="36" s="1"/>
  <c r="G13" i="36"/>
  <c r="F13" i="36"/>
  <c r="E13" i="36"/>
  <c r="D13" i="36"/>
  <c r="C13" i="36"/>
  <c r="I12" i="36"/>
  <c r="H12" i="36"/>
  <c r="F12" i="36"/>
  <c r="G12" i="36" s="1"/>
  <c r="E12" i="36"/>
  <c r="D12" i="36"/>
  <c r="C12" i="36"/>
  <c r="H11" i="36"/>
  <c r="I11" i="36" s="1"/>
  <c r="F11" i="36"/>
  <c r="G11" i="36" s="1"/>
  <c r="E11" i="36"/>
  <c r="D11" i="36"/>
  <c r="C11" i="36"/>
  <c r="I10" i="36"/>
  <c r="G10" i="36"/>
  <c r="I9" i="36"/>
  <c r="G9" i="36"/>
  <c r="I8" i="36"/>
  <c r="G8" i="36"/>
  <c r="I7" i="36"/>
  <c r="G7" i="36"/>
  <c r="I6" i="36"/>
  <c r="G6" i="36"/>
  <c r="D6" i="36"/>
  <c r="I5" i="36"/>
  <c r="G5" i="36"/>
  <c r="D5" i="36"/>
  <c r="I4" i="36"/>
  <c r="G4" i="36"/>
  <c r="I3" i="36"/>
  <c r="G3" i="36"/>
  <c r="I2" i="36"/>
  <c r="G2" i="36"/>
  <c r="S40" i="2"/>
  <c r="T40" i="2"/>
  <c r="U40" i="2"/>
  <c r="S43" i="2"/>
  <c r="T43" i="2"/>
  <c r="U43" i="2"/>
  <c r="C138" i="35" l="1"/>
  <c r="C137" i="35"/>
  <c r="C136" i="35"/>
  <c r="C120" i="35"/>
  <c r="C119" i="35"/>
  <c r="C118" i="35"/>
  <c r="C102" i="35"/>
  <c r="C101" i="35"/>
  <c r="C100" i="35"/>
  <c r="C84" i="35"/>
  <c r="C83" i="35"/>
  <c r="C82" i="35"/>
  <c r="C66" i="35"/>
  <c r="C65" i="35"/>
  <c r="C64" i="35"/>
  <c r="C48" i="35"/>
  <c r="C47" i="35"/>
  <c r="C46" i="35"/>
  <c r="C30" i="35"/>
  <c r="C29" i="35"/>
  <c r="C28" i="35"/>
  <c r="C37" i="35"/>
  <c r="C36" i="35"/>
  <c r="P10" i="35"/>
  <c r="O10" i="35"/>
  <c r="N10" i="35"/>
  <c r="M10" i="35"/>
  <c r="L10" i="35"/>
  <c r="K10" i="35"/>
  <c r="J10" i="35"/>
  <c r="I10" i="35"/>
  <c r="P7" i="35"/>
  <c r="O7" i="35"/>
  <c r="N7" i="35"/>
  <c r="M7" i="35"/>
  <c r="L7" i="35"/>
  <c r="K7" i="35"/>
  <c r="J7" i="35"/>
  <c r="I7" i="35"/>
  <c r="H7" i="35"/>
  <c r="L3" i="35"/>
  <c r="K3" i="35"/>
  <c r="C137" i="34"/>
  <c r="T22" i="2" s="1"/>
  <c r="C138" i="34"/>
  <c r="U22" i="2" s="1"/>
  <c r="C136" i="34"/>
  <c r="S22" i="2" s="1"/>
  <c r="C120" i="34"/>
  <c r="U19" i="2" s="1"/>
  <c r="C119" i="34"/>
  <c r="T19" i="2" s="1"/>
  <c r="C118" i="34"/>
  <c r="S19" i="2" s="1"/>
  <c r="C37" i="34"/>
  <c r="C36" i="34"/>
  <c r="P10" i="34"/>
  <c r="O10" i="34"/>
  <c r="N10" i="34"/>
  <c r="M10" i="34"/>
  <c r="L10" i="34"/>
  <c r="K10" i="34"/>
  <c r="J10" i="34"/>
  <c r="I10" i="34"/>
  <c r="P7" i="34"/>
  <c r="O7" i="34"/>
  <c r="N7" i="34"/>
  <c r="M7" i="34"/>
  <c r="L7" i="34"/>
  <c r="K7" i="34"/>
  <c r="J7" i="34"/>
  <c r="I7" i="34"/>
  <c r="H7" i="34"/>
  <c r="L3" i="34"/>
  <c r="K3" i="34"/>
  <c r="H8" i="33"/>
  <c r="C15" i="31"/>
  <c r="C16" i="30"/>
  <c r="C15" i="28"/>
  <c r="C15" i="27"/>
  <c r="C16" i="31"/>
  <c r="H7" i="29"/>
  <c r="C16" i="33"/>
  <c r="H8" i="31"/>
  <c r="H2" i="30"/>
  <c r="H8" i="28"/>
  <c r="C16" i="27"/>
  <c r="H6" i="30"/>
  <c r="C16" i="28"/>
  <c r="H5" i="27"/>
  <c r="H7" i="30"/>
  <c r="H8" i="27"/>
  <c r="H3" i="33"/>
  <c r="H4" i="27"/>
  <c r="H5" i="28"/>
  <c r="H3" i="27"/>
  <c r="H6" i="29"/>
  <c r="H2" i="28"/>
  <c r="C14" i="31"/>
  <c r="H7" i="27"/>
  <c r="C14" i="33"/>
  <c r="H3" i="31"/>
  <c r="H4" i="30"/>
  <c r="H6" i="28"/>
  <c r="H2" i="27"/>
  <c r="H5" i="30"/>
  <c r="H6" i="32"/>
  <c r="H7" i="31"/>
  <c r="C13" i="29"/>
  <c r="H6" i="31"/>
  <c r="H3" i="28"/>
  <c r="C14" i="32"/>
  <c r="H2" i="33"/>
  <c r="H8" i="30"/>
  <c r="C13" i="32"/>
  <c r="H5" i="31"/>
  <c r="C14" i="28"/>
  <c r="C14" i="29"/>
  <c r="H3" i="29"/>
  <c r="H7" i="32"/>
  <c r="H2" i="31"/>
  <c r="H8" i="32"/>
  <c r="H4" i="28"/>
  <c r="H5" i="33"/>
  <c r="C15" i="32"/>
  <c r="H4" i="31"/>
  <c r="C15" i="29"/>
  <c r="C13" i="28"/>
  <c r="H7" i="28"/>
  <c r="H2" i="29"/>
  <c r="H6" i="27"/>
  <c r="H7" i="33"/>
  <c r="H6" i="33"/>
  <c r="C16" i="32"/>
  <c r="C13" i="30"/>
  <c r="H8" i="29"/>
  <c r="C13" i="27"/>
  <c r="H2" i="32"/>
  <c r="H5" i="29"/>
  <c r="C15" i="33"/>
  <c r="H3" i="32"/>
  <c r="C14" i="30"/>
  <c r="H4" i="33"/>
  <c r="C15" i="30"/>
  <c r="C13" i="33"/>
  <c r="H4" i="32"/>
  <c r="H3" i="30"/>
  <c r="C16" i="29"/>
  <c r="C14" i="27"/>
  <c r="H4" i="29"/>
  <c r="H5" i="32"/>
  <c r="C13" i="31"/>
  <c r="C28" i="5" l="1"/>
  <c r="S5" i="2" s="1"/>
  <c r="C66" i="5"/>
  <c r="U7" i="2" s="1"/>
  <c r="C83" i="5"/>
  <c r="T8" i="2" s="1"/>
  <c r="C82" i="5"/>
  <c r="S8" i="2" s="1"/>
  <c r="C137" i="5"/>
  <c r="T12" i="2" s="1"/>
  <c r="C120" i="5"/>
  <c r="U9" i="2" s="1"/>
  <c r="C65" i="5"/>
  <c r="T7" i="2" s="1"/>
  <c r="C119" i="5"/>
  <c r="T9" i="2" s="1"/>
  <c r="C64" i="5"/>
  <c r="S7" i="2" s="1"/>
  <c r="C46" i="5"/>
  <c r="S6" i="2" s="1"/>
  <c r="C118" i="5"/>
  <c r="S9" i="2" s="1"/>
  <c r="C136" i="5"/>
  <c r="S12" i="2" s="1"/>
  <c r="C100" i="5"/>
  <c r="S11" i="2" s="1"/>
  <c r="C48" i="5"/>
  <c r="U6" i="2" s="1"/>
  <c r="C30" i="5"/>
  <c r="U5" i="2" s="1"/>
  <c r="C138" i="5"/>
  <c r="U12" i="2" s="1"/>
  <c r="C102" i="5"/>
  <c r="U11" i="2" s="1"/>
  <c r="C29" i="5"/>
  <c r="T5" i="2" s="1"/>
  <c r="C47" i="5"/>
  <c r="T6" i="2" s="1"/>
  <c r="C84" i="5"/>
  <c r="U8" i="2" s="1"/>
  <c r="C101" i="5"/>
  <c r="T11" i="2" s="1"/>
  <c r="P10" i="5"/>
  <c r="O10" i="5"/>
  <c r="N10" i="5"/>
  <c r="M10" i="5"/>
  <c r="L10" i="5"/>
  <c r="K10" i="5"/>
  <c r="J10" i="5"/>
  <c r="I10" i="5"/>
  <c r="P7" i="5"/>
  <c r="O7" i="5"/>
  <c r="N7" i="5"/>
  <c r="M7" i="5"/>
  <c r="L7" i="5"/>
  <c r="K7" i="5"/>
  <c r="J7" i="5"/>
  <c r="I7" i="5"/>
  <c r="H7" i="5"/>
  <c r="L3" i="5"/>
  <c r="K3" i="5"/>
  <c r="E58" i="19"/>
  <c r="I58" i="19" s="1"/>
  <c r="D58" i="19"/>
  <c r="D59" i="19" s="1"/>
  <c r="D47" i="19"/>
  <c r="D48" i="19" s="1"/>
  <c r="G50" i="19" s="1"/>
  <c r="E47" i="19"/>
  <c r="I47" i="19" s="1"/>
  <c r="I37" i="19"/>
  <c r="I38" i="19" s="1"/>
  <c r="F40" i="19"/>
  <c r="G40" i="19"/>
  <c r="E37" i="19"/>
  <c r="E38" i="19" s="1"/>
  <c r="E41" i="19" s="1"/>
  <c r="D37" i="19"/>
  <c r="D38" i="19" s="1"/>
  <c r="E40" i="19" s="1"/>
  <c r="E26" i="19"/>
  <c r="E27" i="19" s="1"/>
  <c r="E17" i="19"/>
  <c r="I17" i="19" s="1"/>
  <c r="I18" i="19" s="1"/>
  <c r="D17" i="19"/>
  <c r="D18" i="19" s="1"/>
  <c r="D20" i="19" s="1"/>
  <c r="Q10" i="19"/>
  <c r="P10" i="19"/>
  <c r="O10" i="19"/>
  <c r="N10" i="19"/>
  <c r="M10" i="19"/>
  <c r="L10" i="19"/>
  <c r="K10" i="19"/>
  <c r="J10" i="19"/>
  <c r="Q7" i="19"/>
  <c r="P7" i="19"/>
  <c r="O7" i="19"/>
  <c r="N7" i="19"/>
  <c r="M7" i="19"/>
  <c r="L7" i="19"/>
  <c r="K7" i="19"/>
  <c r="J7" i="19"/>
  <c r="I7" i="19"/>
  <c r="M3" i="19"/>
  <c r="L3" i="19"/>
  <c r="E15" i="29"/>
  <c r="E16" i="33"/>
  <c r="D16" i="31"/>
  <c r="D15" i="29"/>
  <c r="D13" i="27"/>
  <c r="D14" i="27"/>
  <c r="D16" i="33"/>
  <c r="E14" i="31"/>
  <c r="D14" i="29"/>
  <c r="E16" i="27"/>
  <c r="D16" i="28"/>
  <c r="D15" i="33"/>
  <c r="D13" i="31"/>
  <c r="E14" i="29"/>
  <c r="D14" i="33"/>
  <c r="E13" i="31"/>
  <c r="D13" i="29"/>
  <c r="D16" i="27"/>
  <c r="E13" i="33"/>
  <c r="E16" i="31"/>
  <c r="E13" i="29"/>
  <c r="D15" i="27"/>
  <c r="D13" i="32"/>
  <c r="E15" i="33"/>
  <c r="D15" i="32"/>
  <c r="D13" i="30"/>
  <c r="D13" i="28"/>
  <c r="E15" i="32"/>
  <c r="E16" i="30"/>
  <c r="E13" i="28"/>
  <c r="E14" i="32"/>
  <c r="E14" i="30"/>
  <c r="D14" i="32"/>
  <c r="E15" i="30"/>
  <c r="D14" i="28"/>
  <c r="E14" i="28"/>
  <c r="D16" i="30"/>
  <c r="E16" i="32"/>
  <c r="D15" i="30"/>
  <c r="E16" i="28"/>
  <c r="D14" i="30"/>
  <c r="E15" i="28"/>
  <c r="D16" i="29"/>
  <c r="E13" i="27"/>
  <c r="E13" i="32"/>
  <c r="D15" i="28"/>
  <c r="D15" i="31"/>
  <c r="E15" i="27"/>
  <c r="D16" i="32"/>
  <c r="E13" i="30"/>
  <c r="E15" i="31"/>
  <c r="E14" i="33"/>
  <c r="D14" i="31"/>
  <c r="E16" i="29"/>
  <c r="E14" i="27"/>
  <c r="D13" i="33"/>
  <c r="U10" i="2" l="1"/>
  <c r="S10" i="2"/>
  <c r="T10" i="2"/>
  <c r="E30" i="19"/>
  <c r="F30" i="19"/>
  <c r="D30" i="19"/>
  <c r="G30" i="19"/>
  <c r="E48" i="19"/>
  <c r="S13" i="2"/>
  <c r="D40" i="19"/>
  <c r="D50" i="19"/>
  <c r="D26" i="19"/>
  <c r="D27" i="19" s="1"/>
  <c r="D41" i="19"/>
  <c r="G41" i="19"/>
  <c r="F41" i="19"/>
  <c r="I59" i="19"/>
  <c r="E61" i="19"/>
  <c r="F61" i="19"/>
  <c r="G61" i="19"/>
  <c r="D61" i="19"/>
  <c r="E51" i="19"/>
  <c r="F51" i="19"/>
  <c r="F50" i="19"/>
  <c r="F52" i="19" s="1"/>
  <c r="E50" i="19"/>
  <c r="E52" i="19" s="1"/>
  <c r="E59" i="19"/>
  <c r="I48" i="19"/>
  <c r="D42" i="19"/>
  <c r="H40" i="19" s="1"/>
  <c r="R4" i="19" s="1"/>
  <c r="I26" i="19"/>
  <c r="I27" i="19" s="1"/>
  <c r="F42" i="19"/>
  <c r="G42" i="19"/>
  <c r="K40" i="19" s="1"/>
  <c r="U4" i="19" s="1"/>
  <c r="E42" i="19"/>
  <c r="E20" i="19"/>
  <c r="F20" i="19"/>
  <c r="G20" i="19"/>
  <c r="E18" i="19"/>
  <c r="E29" i="19" l="1"/>
  <c r="E31" i="19" s="1"/>
  <c r="I29" i="19" s="1"/>
  <c r="S3" i="19" s="1"/>
  <c r="G29" i="19"/>
  <c r="D29" i="19"/>
  <c r="Q4" i="34"/>
  <c r="C60" i="34" s="1"/>
  <c r="Q4" i="35"/>
  <c r="C60" i="35" s="1"/>
  <c r="N7" i="2"/>
  <c r="Q4" i="5"/>
  <c r="C60" i="5" s="1"/>
  <c r="C59" i="18" s="1"/>
  <c r="G51" i="19"/>
  <c r="G52" i="19" s="1"/>
  <c r="D51" i="19"/>
  <c r="D52" i="19" s="1"/>
  <c r="H50" i="19" s="1"/>
  <c r="R5" i="19" s="1"/>
  <c r="D21" i="19"/>
  <c r="D22" i="19" s="1"/>
  <c r="H20" i="19" s="1"/>
  <c r="E21" i="19"/>
  <c r="E22" i="19" s="1"/>
  <c r="I20" i="19" s="1"/>
  <c r="S2" i="19" s="1"/>
  <c r="F21" i="19"/>
  <c r="F22" i="19" s="1"/>
  <c r="J20" i="19" s="1"/>
  <c r="T2" i="19" s="1"/>
  <c r="G21" i="19"/>
  <c r="G22" i="19" s="1"/>
  <c r="K20" i="19" s="1"/>
  <c r="U2" i="19" s="1"/>
  <c r="T4" i="34"/>
  <c r="C63" i="34" s="1"/>
  <c r="T4" i="35"/>
  <c r="C63" i="35" s="1"/>
  <c r="Q7" i="2"/>
  <c r="T4" i="5"/>
  <c r="C63" i="5" s="1"/>
  <c r="C62" i="18" s="1"/>
  <c r="F29" i="19"/>
  <c r="F31" i="19" s="1"/>
  <c r="J29" i="19" s="1"/>
  <c r="T3" i="19" s="1"/>
  <c r="F63" i="19"/>
  <c r="J61" i="19" s="1"/>
  <c r="T8" i="19" s="1"/>
  <c r="D62" i="19"/>
  <c r="D63" i="19" s="1"/>
  <c r="H61" i="19" s="1"/>
  <c r="R8" i="19" s="1"/>
  <c r="F62" i="19"/>
  <c r="E62" i="19"/>
  <c r="E63" i="19" s="1"/>
  <c r="I61" i="19" s="1"/>
  <c r="S8" i="19" s="1"/>
  <c r="G62" i="19"/>
  <c r="G63" i="19" s="1"/>
  <c r="K61" i="19" s="1"/>
  <c r="U8" i="19" s="1"/>
  <c r="D31" i="19"/>
  <c r="H29" i="19" s="1"/>
  <c r="R3" i="19" s="1"/>
  <c r="G31" i="19"/>
  <c r="K29" i="19" s="1"/>
  <c r="U3" i="19" s="1"/>
  <c r="J40" i="19"/>
  <c r="T4" i="19" s="1"/>
  <c r="R2" i="19"/>
  <c r="I40" i="19"/>
  <c r="S4" i="19" s="1"/>
  <c r="I50" i="19"/>
  <c r="S5" i="19" s="1"/>
  <c r="J50" i="19"/>
  <c r="T5" i="19" s="1"/>
  <c r="K50" i="19"/>
  <c r="U5" i="19" s="1"/>
  <c r="T2" i="34" l="1"/>
  <c r="C27" i="34" s="1"/>
  <c r="T2" i="35"/>
  <c r="C27" i="35" s="1"/>
  <c r="T2" i="5"/>
  <c r="C27" i="5" s="1"/>
  <c r="C28" i="18" s="1"/>
  <c r="Q5" i="2"/>
  <c r="S2" i="34"/>
  <c r="C26" i="34" s="1"/>
  <c r="S2" i="35"/>
  <c r="C26" i="35" s="1"/>
  <c r="S2" i="5"/>
  <c r="C26" i="5" s="1"/>
  <c r="C27" i="18" s="1"/>
  <c r="P5" i="2"/>
  <c r="Q5" i="34"/>
  <c r="Q5" i="35"/>
  <c r="R7" i="19"/>
  <c r="Q5" i="5"/>
  <c r="N8" i="2"/>
  <c r="R2" i="34"/>
  <c r="C25" i="34" s="1"/>
  <c r="R2" i="35"/>
  <c r="C25" i="35" s="1"/>
  <c r="R2" i="5"/>
  <c r="C25" i="5" s="1"/>
  <c r="C26" i="18" s="1"/>
  <c r="O5" i="2"/>
  <c r="T8" i="34"/>
  <c r="T8" i="35"/>
  <c r="T8" i="5"/>
  <c r="Q11" i="2"/>
  <c r="U10" i="19"/>
  <c r="R8" i="34"/>
  <c r="R8" i="35"/>
  <c r="R8" i="5"/>
  <c r="O11" i="2"/>
  <c r="S10" i="19"/>
  <c r="S4" i="34"/>
  <c r="C62" i="34" s="1"/>
  <c r="S4" i="35"/>
  <c r="C62" i="35" s="1"/>
  <c r="S4" i="5"/>
  <c r="C62" i="5" s="1"/>
  <c r="C61" i="18" s="1"/>
  <c r="P7" i="2"/>
  <c r="N6" i="2"/>
  <c r="Q3" i="35"/>
  <c r="C42" i="35" s="1"/>
  <c r="Q3" i="34"/>
  <c r="C42" i="34" s="1"/>
  <c r="Q3" i="5"/>
  <c r="C42" i="5" s="1"/>
  <c r="C42" i="18" s="1"/>
  <c r="Q2" i="34"/>
  <c r="C24" i="34" s="1"/>
  <c r="Q2" i="35"/>
  <c r="C24" i="35" s="1"/>
  <c r="Q2" i="5"/>
  <c r="C24" i="5" s="1"/>
  <c r="C25" i="18" s="1"/>
  <c r="N5" i="2"/>
  <c r="S8" i="34"/>
  <c r="S8" i="35"/>
  <c r="S8" i="5"/>
  <c r="P11" i="2"/>
  <c r="T10" i="19"/>
  <c r="C66" i="34"/>
  <c r="U17" i="2" s="1"/>
  <c r="C65" i="34"/>
  <c r="T17" i="2" s="1"/>
  <c r="T3" i="35"/>
  <c r="C45" i="35" s="1"/>
  <c r="T3" i="34"/>
  <c r="C45" i="34" s="1"/>
  <c r="Q6" i="2"/>
  <c r="T3" i="5"/>
  <c r="C45" i="5" s="1"/>
  <c r="C45" i="18" s="1"/>
  <c r="U7" i="19"/>
  <c r="T5" i="34"/>
  <c r="T5" i="35"/>
  <c r="T5" i="5"/>
  <c r="Q8" i="2"/>
  <c r="R4" i="34"/>
  <c r="C61" i="34" s="1"/>
  <c r="C64" i="34" s="1"/>
  <c r="S17" i="2" s="1"/>
  <c r="R4" i="35"/>
  <c r="C61" i="35" s="1"/>
  <c r="R4" i="5"/>
  <c r="C61" i="5" s="1"/>
  <c r="C60" i="18" s="1"/>
  <c r="O7" i="2"/>
  <c r="Y7" i="2" s="1"/>
  <c r="S3" i="34"/>
  <c r="C44" i="34" s="1"/>
  <c r="S3" i="35"/>
  <c r="C44" i="35" s="1"/>
  <c r="P6" i="2"/>
  <c r="S3" i="5"/>
  <c r="C44" i="5" s="1"/>
  <c r="C44" i="18" s="1"/>
  <c r="Q8" i="34"/>
  <c r="Q8" i="35"/>
  <c r="Q8" i="5"/>
  <c r="N11" i="2"/>
  <c r="R10" i="19"/>
  <c r="T7" i="19"/>
  <c r="S5" i="34"/>
  <c r="S5" i="35"/>
  <c r="S5" i="5"/>
  <c r="P8" i="2"/>
  <c r="S7" i="19"/>
  <c r="R5" i="34"/>
  <c r="R5" i="35"/>
  <c r="R5" i="5"/>
  <c r="O8" i="2"/>
  <c r="R3" i="35"/>
  <c r="C43" i="35" s="1"/>
  <c r="R3" i="34"/>
  <c r="C43" i="34" s="1"/>
  <c r="O6" i="2"/>
  <c r="R3" i="5"/>
  <c r="C43" i="5" s="1"/>
  <c r="C43" i="18" s="1"/>
  <c r="W9" i="2"/>
  <c r="W12" i="2"/>
  <c r="V13" i="2"/>
  <c r="I10" i="18"/>
  <c r="E84" i="18"/>
  <c r="F89" i="18" s="1"/>
  <c r="E67" i="18"/>
  <c r="E68" i="18" s="1"/>
  <c r="E69" i="18" s="1"/>
  <c r="E70" i="18" s="1"/>
  <c r="E71" i="18" s="1"/>
  <c r="E72" i="18" s="1"/>
  <c r="E73" i="18" s="1"/>
  <c r="E74" i="18" s="1"/>
  <c r="E75" i="18" s="1"/>
  <c r="D51" i="18"/>
  <c r="D52" i="18" s="1"/>
  <c r="D53" i="18" s="1"/>
  <c r="D54" i="18" s="1"/>
  <c r="D50" i="18"/>
  <c r="D33" i="18"/>
  <c r="D34" i="18" s="1"/>
  <c r="D35" i="18" s="1"/>
  <c r="D36" i="18" s="1"/>
  <c r="D37" i="18" s="1"/>
  <c r="D16" i="18"/>
  <c r="D17" i="18" s="1"/>
  <c r="D18" i="18" s="1"/>
  <c r="D19" i="18" s="1"/>
  <c r="D20" i="18" s="1"/>
  <c r="H10" i="18"/>
  <c r="E13" i="2"/>
  <c r="H7" i="18"/>
  <c r="C93" i="18"/>
  <c r="C94" i="18" s="1"/>
  <c r="C95" i="18" s="1"/>
  <c r="C96" i="18" s="1"/>
  <c r="C37" i="18"/>
  <c r="C36" i="18"/>
  <c r="P10" i="18"/>
  <c r="O10" i="18"/>
  <c r="N10" i="18"/>
  <c r="M10" i="18"/>
  <c r="L10" i="18"/>
  <c r="K10" i="18"/>
  <c r="J10" i="18"/>
  <c r="Q8" i="18"/>
  <c r="R8" i="18" s="1"/>
  <c r="P7" i="18"/>
  <c r="O7" i="18"/>
  <c r="N7" i="18"/>
  <c r="M7" i="18"/>
  <c r="L7" i="18"/>
  <c r="K7" i="18"/>
  <c r="J7" i="18"/>
  <c r="I7" i="18"/>
  <c r="Q5" i="18"/>
  <c r="Q7" i="18" s="1"/>
  <c r="Q4" i="18"/>
  <c r="R4" i="18" s="1"/>
  <c r="S4" i="18" s="1"/>
  <c r="T4" i="18" s="1"/>
  <c r="Q3" i="18"/>
  <c r="R3" i="18" s="1"/>
  <c r="S3" i="18" s="1"/>
  <c r="T3" i="18" s="1"/>
  <c r="L3" i="18"/>
  <c r="K3" i="18"/>
  <c r="Q2" i="18"/>
  <c r="R2" i="18" s="1"/>
  <c r="S2" i="18" s="1"/>
  <c r="T2" i="18" s="1"/>
  <c r="D38" i="18" l="1"/>
  <c r="D39" i="18" s="1"/>
  <c r="D40" i="18" s="1"/>
  <c r="D41" i="18" s="1"/>
  <c r="D42" i="18" s="1"/>
  <c r="D43" i="18" s="1"/>
  <c r="D44" i="18" s="1"/>
  <c r="D45" i="18" s="1"/>
  <c r="E39" i="18"/>
  <c r="V6" i="2" s="1"/>
  <c r="D21" i="18"/>
  <c r="D22" i="18" s="1"/>
  <c r="D23" i="18" s="1"/>
  <c r="D24" i="18" s="1"/>
  <c r="D25" i="18" s="1"/>
  <c r="D26" i="18" s="1"/>
  <c r="D27" i="18" s="1"/>
  <c r="D28" i="18" s="1"/>
  <c r="E21" i="18"/>
  <c r="V5" i="2" s="1"/>
  <c r="D55" i="18"/>
  <c r="D56" i="18" s="1"/>
  <c r="D57" i="18" s="1"/>
  <c r="D58" i="18" s="1"/>
  <c r="D59" i="18" s="1"/>
  <c r="E57" i="18"/>
  <c r="V7" i="2" s="1"/>
  <c r="Y8" i="2"/>
  <c r="X8" i="2"/>
  <c r="W8" i="2" s="1"/>
  <c r="E85" i="18"/>
  <c r="E86" i="18" s="1"/>
  <c r="E87" i="18" s="1"/>
  <c r="E88" i="18" s="1"/>
  <c r="E89" i="18" s="1"/>
  <c r="E90" i="18" s="1"/>
  <c r="E91" i="18" s="1"/>
  <c r="E92" i="18" s="1"/>
  <c r="S10" i="5"/>
  <c r="C98" i="5"/>
  <c r="C78" i="5"/>
  <c r="C76" i="18" s="1"/>
  <c r="Q7" i="5"/>
  <c r="C98" i="35"/>
  <c r="S10" i="35"/>
  <c r="E76" i="18"/>
  <c r="S7" i="5"/>
  <c r="C80" i="5"/>
  <c r="C78" i="18" s="1"/>
  <c r="S7" i="35"/>
  <c r="C80" i="35"/>
  <c r="S10" i="34"/>
  <c r="C98" i="34"/>
  <c r="C78" i="35"/>
  <c r="Q7" i="35"/>
  <c r="T7" i="5"/>
  <c r="C81" i="5"/>
  <c r="C79" i="18" s="1"/>
  <c r="X5" i="2"/>
  <c r="W5" i="2" s="1"/>
  <c r="Y5" i="2"/>
  <c r="R10" i="5"/>
  <c r="C97" i="5"/>
  <c r="C78" i="34"/>
  <c r="Q7" i="34"/>
  <c r="R7" i="35"/>
  <c r="C79" i="35"/>
  <c r="C79" i="34"/>
  <c r="R7" i="34"/>
  <c r="C80" i="34"/>
  <c r="S7" i="34"/>
  <c r="T7" i="35"/>
  <c r="C81" i="35"/>
  <c r="C97" i="35"/>
  <c r="R10" i="35"/>
  <c r="C30" i="34"/>
  <c r="U15" i="2" s="1"/>
  <c r="C29" i="34"/>
  <c r="T15" i="2" s="1"/>
  <c r="C28" i="34"/>
  <c r="S15" i="2" s="1"/>
  <c r="X7" i="2"/>
  <c r="W7" i="2" s="1"/>
  <c r="C97" i="34"/>
  <c r="R10" i="34"/>
  <c r="X11" i="2"/>
  <c r="W11" i="2" s="1"/>
  <c r="Y11" i="2"/>
  <c r="C96" i="35"/>
  <c r="Q10" i="35"/>
  <c r="T10" i="5"/>
  <c r="C99" i="5"/>
  <c r="R7" i="5"/>
  <c r="C79" i="5"/>
  <c r="C77" i="18" s="1"/>
  <c r="C81" i="34"/>
  <c r="T7" i="34"/>
  <c r="Q10" i="5"/>
  <c r="C96" i="5"/>
  <c r="Q10" i="34"/>
  <c r="C96" i="34"/>
  <c r="T10" i="35"/>
  <c r="C99" i="35"/>
  <c r="C47" i="34"/>
  <c r="T16" i="2" s="1"/>
  <c r="C46" i="34"/>
  <c r="S16" i="2" s="1"/>
  <c r="C48" i="34"/>
  <c r="U16" i="2" s="1"/>
  <c r="T10" i="34"/>
  <c r="C99" i="34"/>
  <c r="D60" i="18"/>
  <c r="D61" i="18" s="1"/>
  <c r="D62" i="18" s="1"/>
  <c r="U13" i="2"/>
  <c r="S8" i="18"/>
  <c r="R10" i="18"/>
  <c r="Q10" i="18"/>
  <c r="R5" i="18"/>
  <c r="C37" i="5"/>
  <c r="C36" i="5"/>
  <c r="N13" i="2"/>
  <c r="D93" i="18" s="1"/>
  <c r="N10" i="2"/>
  <c r="D76" i="18" s="1"/>
  <c r="G13" i="2"/>
  <c r="H13" i="2"/>
  <c r="I13" i="2"/>
  <c r="J13" i="2"/>
  <c r="K13" i="2"/>
  <c r="L13" i="2"/>
  <c r="M13" i="2"/>
  <c r="F13" i="2"/>
  <c r="F10" i="2"/>
  <c r="E10" i="2"/>
  <c r="I6" i="2"/>
  <c r="H6" i="2"/>
  <c r="E93" i="18" l="1"/>
  <c r="Y6" i="2"/>
  <c r="X6" i="2"/>
  <c r="W6" i="2" s="1"/>
  <c r="C84" i="34"/>
  <c r="U18" i="2" s="1"/>
  <c r="U20" i="2" s="1"/>
  <c r="C83" i="34"/>
  <c r="T18" i="2" s="1"/>
  <c r="T20" i="2" s="1"/>
  <c r="C82" i="34"/>
  <c r="S18" i="2" s="1"/>
  <c r="S20" i="2" s="1"/>
  <c r="C101" i="34"/>
  <c r="T21" i="2" s="1"/>
  <c r="T23" i="2" s="1"/>
  <c r="C102" i="34"/>
  <c r="U21" i="2" s="1"/>
  <c r="U23" i="2" s="1"/>
  <c r="C100" i="34"/>
  <c r="S21" i="2" s="1"/>
  <c r="S23" i="2" s="1"/>
  <c r="R7" i="18"/>
  <c r="S5" i="18"/>
  <c r="T8" i="18"/>
  <c r="T10" i="18" s="1"/>
  <c r="S10" i="18"/>
  <c r="T13" i="2"/>
  <c r="G10" i="2"/>
  <c r="S7" i="18" l="1"/>
  <c r="T5" i="18"/>
  <c r="T7" i="18" s="1"/>
  <c r="O10" i="2"/>
  <c r="D77" i="18" s="1"/>
  <c r="O13" i="2"/>
  <c r="D94" i="18" s="1"/>
  <c r="E94" i="18" s="1"/>
  <c r="H10" i="2"/>
  <c r="E77" i="18" l="1"/>
  <c r="F75" i="18"/>
  <c r="V10" i="2" s="1"/>
  <c r="Q10" i="2"/>
  <c r="D79" i="18" s="1"/>
  <c r="P10" i="2"/>
  <c r="Q13" i="2"/>
  <c r="D96" i="18" s="1"/>
  <c r="P13" i="2"/>
  <c r="I10" i="2"/>
  <c r="Y13" i="2" l="1"/>
  <c r="D95" i="18"/>
  <c r="E95" i="18" s="1"/>
  <c r="E96" i="18" s="1"/>
  <c r="D78" i="18"/>
  <c r="E78" i="18"/>
  <c r="E79" i="18" s="1"/>
  <c r="X13" i="2"/>
  <c r="W13" i="2" s="1"/>
  <c r="J10" i="2"/>
  <c r="K10" i="2" l="1"/>
  <c r="L10" i="2" l="1"/>
  <c r="M10" i="2" l="1"/>
  <c r="X10" i="2" s="1"/>
  <c r="W10" i="2" s="1"/>
  <c r="Y10"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<sst xmlns="http://schemas.openxmlformats.org/spreadsheetml/2006/main" count="706" uniqueCount="176">
  <si>
    <t>Project A</t>
  </si>
  <si>
    <t>Sales Revenue</t>
  </si>
  <si>
    <t>Project B</t>
  </si>
  <si>
    <t>Converted Revenue</t>
  </si>
  <si>
    <t>Project C</t>
  </si>
  <si>
    <t>NPV</t>
  </si>
  <si>
    <t>IRR</t>
  </si>
  <si>
    <t>Local</t>
  </si>
  <si>
    <t>Foreign</t>
  </si>
  <si>
    <t>Project F1</t>
  </si>
  <si>
    <t>Project F2</t>
  </si>
  <si>
    <t>China</t>
  </si>
  <si>
    <t>Country</t>
  </si>
  <si>
    <t xml:space="preserve">Domicile </t>
  </si>
  <si>
    <t>Project</t>
  </si>
  <si>
    <t>Malaysia</t>
  </si>
  <si>
    <t>Profitability Index</t>
  </si>
  <si>
    <t>2022Q2</t>
  </si>
  <si>
    <t>2022Q3</t>
  </si>
  <si>
    <t>2022Q4</t>
  </si>
  <si>
    <t>2023Q1</t>
  </si>
  <si>
    <t>2023Q2</t>
  </si>
  <si>
    <t>2023Q3</t>
  </si>
  <si>
    <t>2023Q4</t>
  </si>
  <si>
    <t>USA</t>
  </si>
  <si>
    <t>Payback Period</t>
  </si>
  <si>
    <t>2024Q2f</t>
  </si>
  <si>
    <t>AI= Machine Learning method</t>
  </si>
  <si>
    <t>2024Q1f</t>
  </si>
  <si>
    <t>2024Q3f</t>
  </si>
  <si>
    <t>2024Q4f</t>
  </si>
  <si>
    <t>2025Q1f-AI_ML1</t>
  </si>
  <si>
    <t>2025Q1f-AI_ML2</t>
  </si>
  <si>
    <t>FOREX (RM/USD)</t>
  </si>
  <si>
    <t>FOREX (RMB/RM)</t>
  </si>
  <si>
    <t>Initial Outlay</t>
  </si>
  <si>
    <t>f=forecast</t>
  </si>
  <si>
    <t>Copy-paste the image of your dashboard here:</t>
  </si>
  <si>
    <t>Q1. Fill up the green cells in the above table for the converted revenue.</t>
  </si>
  <si>
    <t>Q2. Fill up the blue cells in the above table using an appropriate forecast technique for 2024, assuming the sales revenue in 2024 and 2025 is going to increase 20% annually.</t>
  </si>
  <si>
    <t>Assignment in Group: Quarterly Sales Revenue for Company A</t>
  </si>
  <si>
    <t>The following table illustrate 5 alternative projects that Company A would like to considered. You may help on the capital budgeting analytics by answering the 6 questions in the following:</t>
  </si>
  <si>
    <t>Q3. Fill up the yellow cells in the above table using an appropriate AL-Machine Learning forecast tool for 2026 Q1 (each group member using a different AI tool). Comparing the different AI tools, what can u conclude on effectiveness of AI tools in this forecasting exercise?</t>
  </si>
  <si>
    <t>Q4. Fill up the grey cells in the above table on the various capital budgeting evaluation, with the cost of capital is 10% for all cases.</t>
  </si>
  <si>
    <t>For 2022-2024 only</t>
  </si>
  <si>
    <t xml:space="preserve">Q5. If this company has a limited fund for investment back in early 2022, say only RM600,000 is available, which project(s) will you recommend to invest (based on 2022-2024 sales revenue). </t>
  </si>
  <si>
    <t>Q6. Prepare a dashboard that best illustrate the above Capital Budgeting Analytics (based on 2022-2024 sales revenue). Copy-paste the image of your dashboard here (you may provide an interactive dashboard in addition):</t>
  </si>
  <si>
    <t>Member 1</t>
  </si>
  <si>
    <t>C</t>
  </si>
  <si>
    <t>Year 2022</t>
  </si>
  <si>
    <t>Year 2023</t>
  </si>
  <si>
    <t>Year 2024</t>
  </si>
  <si>
    <t>Year 2025</t>
  </si>
  <si>
    <t>Year</t>
  </si>
  <si>
    <t>Qurater</t>
  </si>
  <si>
    <t>Sales</t>
  </si>
  <si>
    <t>Forecast(Sales)</t>
  </si>
  <si>
    <t>Lower Confidence Bound(Sales)</t>
  </si>
  <si>
    <t>Upper Confidence Bound(Sales)</t>
  </si>
  <si>
    <t xml:space="preserve">ML1: Exponential Triple smoothing Algorithm </t>
  </si>
  <si>
    <t>Exponential Triple Smoothing</t>
  </si>
  <si>
    <t>Forecast(FOREX (RM/USD))</t>
  </si>
  <si>
    <t>Lower Confidence Bound(FOREX (RM/USD))</t>
  </si>
  <si>
    <t>Upper Confidence Bound(FOREX (RM/USD))</t>
  </si>
  <si>
    <t>Forecast(FOREX (RMB/RM))</t>
  </si>
  <si>
    <t>Lower Confidence Bound(FOREX (RMB/RM))</t>
  </si>
  <si>
    <t>Upper Confidence Bound(FOREX (RMB/RM))</t>
  </si>
  <si>
    <t xml:space="preserve">ML2 : Linear Regression Algorithm </t>
  </si>
  <si>
    <t>Autoregressive integrated moving average</t>
  </si>
  <si>
    <t xml:space="preserve">outlay </t>
  </si>
  <si>
    <t>Outlay</t>
  </si>
  <si>
    <t xml:space="preserve">Outlay </t>
  </si>
  <si>
    <t xml:space="preserve">Cost of Capital = </t>
  </si>
  <si>
    <t xml:space="preserve">Payback Period </t>
  </si>
  <si>
    <t xml:space="preserve">Cumlative Cash Flow </t>
  </si>
  <si>
    <t xml:space="preserve">Cumulative Cash Flow </t>
  </si>
  <si>
    <t xml:space="preserve">Seasonal Forcast for 2024 </t>
  </si>
  <si>
    <t>avg of yr</t>
  </si>
  <si>
    <t>Q1</t>
  </si>
  <si>
    <t>Q2</t>
  </si>
  <si>
    <t>Q3</t>
  </si>
  <si>
    <t>Q4</t>
  </si>
  <si>
    <t>SI yr 2022</t>
  </si>
  <si>
    <t>SI yr 2023</t>
  </si>
  <si>
    <t>Avg SI</t>
  </si>
  <si>
    <t>2022Q1</t>
  </si>
  <si>
    <t>Statistic</t>
  </si>
  <si>
    <t>Value</t>
  </si>
  <si>
    <t>Alpha</t>
  </si>
  <si>
    <t>Beta</t>
  </si>
  <si>
    <t>Gamma</t>
  </si>
  <si>
    <t>MASE</t>
  </si>
  <si>
    <t>SMAPE</t>
  </si>
  <si>
    <t>MAE</t>
  </si>
  <si>
    <t>RMSE</t>
  </si>
  <si>
    <t>Timeline</t>
  </si>
  <si>
    <t>Values</t>
  </si>
  <si>
    <t>Forecast</t>
  </si>
  <si>
    <t>Lower Confidence Bound</t>
  </si>
  <si>
    <t>Upper Confidence Bound</t>
  </si>
  <si>
    <t xml:space="preserve">Payback period calculation </t>
  </si>
  <si>
    <t>2025Q2f-AI_ML2</t>
  </si>
  <si>
    <t>2025Q3f-AI_ML1</t>
  </si>
  <si>
    <t>2025Q2f-AI_ML1</t>
  </si>
  <si>
    <t>2025Q2-AI_ML2</t>
  </si>
  <si>
    <t>Member 2</t>
  </si>
  <si>
    <t>Member 3</t>
  </si>
  <si>
    <t>Linear Regression Forecasting</t>
  </si>
  <si>
    <t>This selection maximizes returns while staying under budget, with RM55,000 remaining. Project F1 is excluded due to its cost exceeding available funds.</t>
  </si>
  <si>
    <t>Member 4</t>
  </si>
  <si>
    <t>2025Q1f-AI_ML4</t>
  </si>
  <si>
    <t>2025Q2f-AI_ML4</t>
  </si>
  <si>
    <t>2025Q3f-AI_ML4</t>
  </si>
  <si>
    <t xml:space="preserve"> ML4 : Random Forest Regressor</t>
  </si>
  <si>
    <t>Autoregression (AR)</t>
  </si>
  <si>
    <t>RM66,437</t>
  </si>
  <si>
    <t>RM63,523</t>
  </si>
  <si>
    <t>RM61,997</t>
  </si>
  <si>
    <t>RM32,336</t>
  </si>
  <si>
    <t>RM31,429</t>
  </si>
  <si>
    <t>RM30,778</t>
  </si>
  <si>
    <t>RM18,390</t>
  </si>
  <si>
    <t>RM18,721</t>
  </si>
  <si>
    <t>RM19,026</t>
  </si>
  <si>
    <t>USD 23,422</t>
  </si>
  <si>
    <t>USD 22,976</t>
  </si>
  <si>
    <t>USD 22,630</t>
  </si>
  <si>
    <t>RM104,933</t>
  </si>
  <si>
    <t>RM102,472</t>
  </si>
  <si>
    <t>RM100,706</t>
  </si>
  <si>
    <t>¥309,994</t>
  </si>
  <si>
    <t>¥308,334</t>
  </si>
  <si>
    <t>¥306,957</t>
  </si>
  <si>
    <t>RM440.19K</t>
  </si>
  <si>
    <t>RM431.67K</t>
  </si>
  <si>
    <t>RM420.53K</t>
  </si>
  <si>
    <t>Assuming that all projects are independent, we will Invest in Projects F2, C, B, and A for a total of RM545,000, prioritizing the highest Profitability Indexes and NPVs within RM600,000 budget.</t>
  </si>
  <si>
    <t xml:space="preserve">Year-Quarter </t>
  </si>
  <si>
    <t xml:space="preserve">Project B </t>
  </si>
  <si>
    <t>Project F1 -RM</t>
  </si>
  <si>
    <t xml:space="preserve">Project F2 </t>
  </si>
  <si>
    <t>Project F2 -RM</t>
  </si>
  <si>
    <t>FOREX (RM/USD</t>
  </si>
  <si>
    <t xml:space="preserve">Outflows </t>
  </si>
  <si>
    <t>Inflows</t>
  </si>
  <si>
    <t>2022-Q1</t>
  </si>
  <si>
    <t>2022-Q2</t>
  </si>
  <si>
    <t>2022-Q3</t>
  </si>
  <si>
    <t>2022-Q4</t>
  </si>
  <si>
    <t>2023-Q1</t>
  </si>
  <si>
    <t>2023-Q2</t>
  </si>
  <si>
    <t>2023-Q3</t>
  </si>
  <si>
    <t>2023-Q4</t>
  </si>
  <si>
    <t>2024-Q1</t>
  </si>
  <si>
    <t>2024-Q2</t>
  </si>
  <si>
    <t>2024-Q3</t>
  </si>
  <si>
    <t>2024-Q4</t>
  </si>
  <si>
    <t>1.20 year</t>
  </si>
  <si>
    <t xml:space="preserve">1.17 year </t>
  </si>
  <si>
    <t>1.06 year</t>
  </si>
  <si>
    <t>2.29 year</t>
  </si>
  <si>
    <t>0.13 year</t>
  </si>
  <si>
    <t>Type</t>
  </si>
  <si>
    <t>Row Labels</t>
  </si>
  <si>
    <t>Grand Total</t>
  </si>
  <si>
    <t>Sum of Project A</t>
  </si>
  <si>
    <t xml:space="preserve">Sum of Project B </t>
  </si>
  <si>
    <t>Sum of Project C</t>
  </si>
  <si>
    <t>Sum of Project F1 -RM</t>
  </si>
  <si>
    <t>Sum of Project F2 -RM</t>
  </si>
  <si>
    <t>sum Out</t>
  </si>
  <si>
    <t>Metrics</t>
  </si>
  <si>
    <t>Sum of IRR</t>
  </si>
  <si>
    <t>Sum of NPV</t>
  </si>
  <si>
    <t>Sum of Profitability Index</t>
  </si>
  <si>
    <t>Both Random Forest and Triple exponential smoothing techniques are able take into account the trend and seasonality of the cash inflows along the quarters, which is obvious in projects B and F1 . On the contrary, linear regression and autoregresion assume the linearity of the relationship among the variables, therefore, they are not capable of capturing the complex relationship along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</si>
</sst>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quot;RM&quot;#,##0"/>
    <numFmt numFmtId="165" formatCode="&quot;RM&quot;#.00,&quot;K&quot;;"/>
    <numFmt numFmtId="166" formatCode="[$USD]\ #,##0"/>
    <numFmt numFmtId="167" formatCode="[$¥-804]#,##0"/>
    <numFmt numFmtId="168" formatCode="0.000"/>
    <numFmt numFmtId="169" formatCode="##0.00\ [$year]\ #"/>
    <numFmt numFmtId="170" formatCode="##0.00\ [$year]\ "/>
  </numFmts>
  <fonts count="20" x14ac:knownFonts="1">
    <font>
      <sz val="11"/>
      <color theme="1"/>
      <name val="Rockwell"/>
      <family val="2"/>
      <scheme val="minor"/>
    </font>
    <font>
      <sz val="8"/>
      <name val="Rockwell"/>
      <family val="2"/>
      <scheme val="minor"/>
    </font>
    <font>
      <b/>
      <sz val="12"/>
      <color theme="1"/>
      <name val="Rockwell"/>
      <family val="2"/>
      <scheme val="minor"/>
    </font>
    <font>
      <sz val="12"/>
      <color theme="1"/>
      <name val="Rockwell"/>
      <family val="2"/>
      <scheme val="minor"/>
    </font>
    <font>
      <sz val="12"/>
      <color rgb="FF3B3C63"/>
      <name val="Rockwell"/>
      <family val="2"/>
      <scheme val="minor"/>
    </font>
    <font>
      <b/>
      <sz val="12"/>
      <color rgb="FF3B3C63"/>
      <name val="Rockwell"/>
      <family val="2"/>
      <scheme val="minor"/>
    </font>
    <font>
      <sz val="11"/>
      <color theme="1"/>
      <name val="Rockwell"/>
      <family val="2"/>
      <scheme val="minor"/>
    </font>
    <font>
      <b/>
      <sz val="11"/>
      <color theme="1"/>
      <name val="Rockwell"/>
      <family val="2"/>
      <scheme val="minor"/>
    </font>
    <font>
      <b/>
      <sz val="28"/>
      <color theme="1"/>
      <name val="Rockwell"/>
      <family val="2"/>
      <scheme val="minor"/>
    </font>
    <font>
      <sz val="12"/>
      <color theme="0"/>
      <name val="Rockwell"/>
      <family val="2"/>
      <scheme val="minor"/>
    </font>
    <font>
      <sz val="12"/>
      <color theme="2"/>
      <name val="Rockwell"/>
      <family val="2"/>
      <scheme val="minor"/>
    </font>
    <font>
      <b/>
      <u/>
      <sz val="11"/>
      <color theme="1"/>
      <name val="Rockwell"/>
      <family val="2"/>
      <scheme val="minor"/>
    </font>
    <font>
      <u/>
      <sz val="11"/>
      <color theme="1"/>
      <name val="Rockwell"/>
      <family val="2"/>
      <scheme val="minor"/>
    </font>
    <font>
      <sz val="16"/>
      <color theme="1"/>
      <name val="Rockwell"/>
      <family val="2"/>
      <scheme val="minor"/>
    </font>
    <font>
      <b/>
      <sz val="11"/>
      <name val="Rockwell"/>
      <family val="2"/>
      <scheme val="minor"/>
    </font>
    <font>
      <sz val="11"/>
      <name val="Rockwell"/>
      <family val="2"/>
      <scheme val="minor"/>
    </font>
    <font>
      <sz val="12"/>
      <name val="Rockwell"/>
      <family val="2"/>
      <scheme val="minor"/>
    </font>
    <font>
      <b/>
      <sz val="11"/>
      <name val="Rockwell"/>
      <family val="1"/>
      <scheme val="minor"/>
    </font>
    <font>
      <b/>
      <sz val="12"/>
      <color theme="1"/>
      <name val="Rockwell"/>
      <family val="1"/>
      <scheme val="minor"/>
    </font>
    <font>
      <b/>
      <sz val="12"/>
      <color rgb="FF252525"/>
      <name val="Arial"/>
      <family val="2"/>
    </font>
  </fonts>
  <fills count="15">
    <fill>
      <patternFill patternType="none"/>
    </fill>
    <fill>
      <patternFill patternType="gray125"/>
    </fill>
    <fill>
      <patternFill patternType="solid">
        <fgColor rgb="FFF9F9FB"/>
        <bgColor rgb="FF000000"/>
      </patternFill>
    </fill>
    <fill>
      <patternFill patternType="solid">
        <fgColor rgb="FFFFFF0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7" tint="0.39997558519241921"/>
        <bgColor rgb="FF000000"/>
      </patternFill>
    </fill>
    <fill>
      <patternFill patternType="solid">
        <fgColor theme="0"/>
        <bgColor indexed="64"/>
      </patternFill>
    </fill>
    <fill>
      <patternFill patternType="solid">
        <fgColor theme="4" tint="0.59999389629810485"/>
        <bgColor indexed="64"/>
      </patternFill>
    </fill>
    <fill>
      <patternFill patternType="solid">
        <fgColor theme="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0070C0"/>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style="thin">
        <color rgb="FFD9D9D9"/>
      </left>
      <right style="thin">
        <color rgb="FF9B9B9B"/>
      </right>
      <top style="thin">
        <color rgb="FFD9D9D9"/>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bottom>
      <diagonal/>
    </border>
    <border>
      <left/>
      <right style="thin">
        <color theme="1"/>
      </right>
      <top/>
      <bottom/>
      <diagonal/>
    </border>
    <border>
      <left/>
      <right style="thin">
        <color theme="1"/>
      </right>
      <top style="thin">
        <color indexed="64"/>
      </top>
      <bottom style="thin">
        <color theme="1"/>
      </bottom>
      <diagonal/>
    </border>
    <border>
      <left/>
      <right style="thin">
        <color theme="1"/>
      </right>
      <top/>
      <bottom style="thin">
        <color indexed="64"/>
      </bottom>
      <diagonal/>
    </border>
    <border>
      <left/>
      <right style="thin">
        <color theme="1"/>
      </right>
      <top style="thin">
        <color theme="1"/>
      </top>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right style="thin">
        <color theme="1"/>
      </right>
      <top/>
      <bottom style="thin">
        <color theme="0" tint="-0.249977111117893"/>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0" tint="-0.14999847407452621"/>
      </left>
      <right/>
      <top/>
      <bottom/>
      <diagonal/>
    </border>
    <border>
      <left/>
      <right style="thin">
        <color theme="0" tint="-0.14999847407452621"/>
      </right>
      <top/>
      <bottom/>
      <diagonal/>
    </border>
    <border>
      <left/>
      <right style="thin">
        <color theme="0" tint="-0.14999847407452621"/>
      </right>
      <top style="thin">
        <color theme="1"/>
      </top>
      <bottom style="thin">
        <color theme="0" tint="-0.1499984740745262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style="thin">
        <color theme="1"/>
      </right>
      <top style="thin">
        <color indexed="64"/>
      </top>
      <bottom/>
      <diagonal/>
    </border>
    <border>
      <left style="thin">
        <color theme="2" tint="-9.9978637043366805E-2"/>
      </left>
      <right/>
      <top/>
      <bottom/>
      <diagonal/>
    </border>
    <border>
      <left/>
      <right style="thin">
        <color theme="2" tint="-9.9978637043366805E-2"/>
      </right>
      <top style="thin">
        <color theme="2" tint="-9.9978637043366805E-2"/>
      </top>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style="thin">
        <color indexed="64"/>
      </top>
      <bottom style="thin">
        <color theme="2" tint="-9.9978637043366805E-2"/>
      </bottom>
      <diagonal/>
    </border>
    <border>
      <left style="thin">
        <color theme="1"/>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thin">
        <color theme="1"/>
      </left>
      <right style="thin">
        <color theme="2" tint="-9.9978637043366805E-2"/>
      </right>
      <top style="thin">
        <color theme="2" tint="-9.9978637043366805E-2"/>
      </top>
      <bottom/>
      <diagonal/>
    </border>
    <border>
      <left style="thin">
        <color theme="1"/>
      </left>
      <right style="thin">
        <color theme="2" tint="-9.9978637043366805E-2"/>
      </right>
      <top/>
      <bottom/>
      <diagonal/>
    </border>
    <border>
      <left/>
      <right/>
      <top style="thin">
        <color theme="1"/>
      </top>
      <bottom/>
      <diagonal/>
    </border>
    <border>
      <left/>
      <right/>
      <top style="thin">
        <color theme="2" tint="-9.9978637043366805E-2"/>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style="thin">
        <color theme="2" tint="-9.9978637043366805E-2"/>
      </left>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top style="thin">
        <color theme="2" tint="-9.9978637043366805E-2"/>
      </top>
      <bottom/>
      <diagonal/>
    </border>
    <border>
      <left/>
      <right/>
      <top style="thin">
        <color theme="2" tint="-9.9978637043366805E-2"/>
      </top>
      <bottom/>
      <diagonal/>
    </border>
    <border>
      <left style="thin">
        <color theme="1"/>
      </left>
      <right/>
      <top/>
      <bottom/>
      <diagonal/>
    </border>
    <border>
      <left style="thin">
        <color theme="2"/>
      </left>
      <right style="thin">
        <color theme="2"/>
      </right>
      <top style="thin">
        <color theme="2"/>
      </top>
      <bottom style="thin">
        <color theme="2"/>
      </bottom>
      <diagonal/>
    </border>
    <border>
      <left style="thin">
        <color theme="2"/>
      </left>
      <right style="thin">
        <color theme="1"/>
      </right>
      <top style="thin">
        <color theme="2"/>
      </top>
      <bottom style="thin">
        <color theme="2"/>
      </bottom>
      <diagonal/>
    </border>
    <border>
      <left style="thin">
        <color theme="2"/>
      </left>
      <right style="thin">
        <color theme="2"/>
      </right>
      <top style="thin">
        <color theme="2"/>
      </top>
      <bottom style="thin">
        <color theme="1"/>
      </bottom>
      <diagonal/>
    </border>
    <border>
      <left style="thin">
        <color theme="2"/>
      </left>
      <right style="thin">
        <color theme="1"/>
      </right>
      <top style="thin">
        <color theme="2"/>
      </top>
      <bottom style="thin">
        <color theme="1"/>
      </bottom>
      <diagonal/>
    </border>
    <border>
      <left style="thin">
        <color theme="2"/>
      </left>
      <right style="thin">
        <color theme="2"/>
      </right>
      <top style="thin">
        <color theme="1"/>
      </top>
      <bottom style="thin">
        <color theme="1"/>
      </bottom>
      <diagonal/>
    </border>
    <border>
      <left style="thin">
        <color theme="2"/>
      </left>
      <right style="thin">
        <color theme="2"/>
      </right>
      <top/>
      <bottom style="thin">
        <color theme="2"/>
      </bottom>
      <diagonal/>
    </border>
    <border>
      <left style="thin">
        <color theme="2"/>
      </left>
      <right style="thin">
        <color theme="1"/>
      </right>
      <top style="thin">
        <color theme="1"/>
      </top>
      <bottom style="thin">
        <color theme="1"/>
      </bottom>
      <diagonal/>
    </border>
    <border>
      <left style="thin">
        <color theme="2"/>
      </left>
      <right style="thin">
        <color theme="1"/>
      </right>
      <top/>
      <bottom style="thin">
        <color theme="2"/>
      </bottom>
      <diagonal/>
    </border>
    <border>
      <left style="thin">
        <color theme="1"/>
      </left>
      <right style="thin">
        <color theme="2"/>
      </right>
      <top style="thin">
        <color theme="1"/>
      </top>
      <bottom style="thin">
        <color theme="1"/>
      </bottom>
      <diagonal/>
    </border>
    <border>
      <left/>
      <right style="thin">
        <color theme="2"/>
      </right>
      <top style="thin">
        <color theme="1"/>
      </top>
      <bottom style="thin">
        <color theme="1"/>
      </bottom>
      <diagonal/>
    </border>
    <border>
      <left/>
      <right style="thin">
        <color theme="2"/>
      </right>
      <top/>
      <bottom style="thin">
        <color theme="2"/>
      </bottom>
      <diagonal/>
    </border>
    <border>
      <left/>
      <right style="thin">
        <color theme="2"/>
      </right>
      <top style="thin">
        <color theme="2"/>
      </top>
      <bottom style="thin">
        <color theme="2"/>
      </bottom>
      <diagonal/>
    </border>
    <border>
      <left/>
      <right style="thin">
        <color theme="2"/>
      </right>
      <top style="thin">
        <color theme="2"/>
      </top>
      <bottom style="thin">
        <color theme="1"/>
      </bottom>
      <diagonal/>
    </border>
    <border>
      <left style="thin">
        <color theme="1"/>
      </left>
      <right style="thin">
        <color theme="1"/>
      </right>
      <top style="thin">
        <color theme="1"/>
      </top>
      <bottom style="thin">
        <color theme="2"/>
      </bottom>
      <diagonal/>
    </border>
    <border>
      <left style="thin">
        <color theme="1"/>
      </left>
      <right style="thin">
        <color theme="1"/>
      </right>
      <top style="thin">
        <color theme="2"/>
      </top>
      <bottom style="thin">
        <color theme="2"/>
      </bottom>
      <diagonal/>
    </border>
    <border>
      <left style="thin">
        <color theme="1"/>
      </left>
      <right style="thin">
        <color theme="1"/>
      </right>
      <top style="thin">
        <color theme="2"/>
      </top>
      <bottom style="thin">
        <color theme="1"/>
      </bottom>
      <diagonal/>
    </border>
    <border>
      <left/>
      <right style="thin">
        <color theme="2"/>
      </right>
      <top style="thin">
        <color theme="2"/>
      </top>
      <bottom/>
      <diagonal/>
    </border>
    <border>
      <left style="thin">
        <color theme="2"/>
      </left>
      <right style="thin">
        <color theme="2"/>
      </right>
      <top style="thin">
        <color theme="2"/>
      </top>
      <bottom/>
      <diagonal/>
    </border>
    <border>
      <left style="thin">
        <color theme="2"/>
      </left>
      <right style="thin">
        <color theme="1"/>
      </right>
      <top style="thin">
        <color theme="2"/>
      </top>
      <bottom/>
      <diagonal/>
    </border>
    <border>
      <left style="thin">
        <color indexed="64"/>
      </left>
      <right style="thin">
        <color indexed="64"/>
      </right>
      <top style="thin">
        <color indexed="64"/>
      </top>
      <bottom style="thin">
        <color theme="1"/>
      </bottom>
      <diagonal/>
    </border>
    <border>
      <left style="thin">
        <color indexed="64"/>
      </left>
      <right style="thin">
        <color indexed="64"/>
      </right>
      <top/>
      <bottom style="thin">
        <color theme="1"/>
      </bottom>
      <diagonal/>
    </border>
    <border>
      <left style="thin">
        <color theme="1"/>
      </left>
      <right/>
      <top style="thin">
        <color theme="1"/>
      </top>
      <bottom/>
      <diagonal/>
    </border>
    <border>
      <left style="thin">
        <color theme="1"/>
      </left>
      <right/>
      <top/>
      <bottom style="thin">
        <color theme="1"/>
      </bottom>
      <diagonal/>
    </border>
    <border>
      <left/>
      <right style="thin">
        <color theme="0" tint="-0.14999847407452621"/>
      </right>
      <top/>
      <bottom style="thin">
        <color theme="0" tint="-0.14999847407452621"/>
      </bottom>
      <diagonal/>
    </border>
    <border>
      <left/>
      <right style="thin">
        <color indexed="64"/>
      </right>
      <top/>
      <bottom/>
      <diagonal/>
    </border>
    <border>
      <left/>
      <right/>
      <top style="thin">
        <color theme="1"/>
      </top>
      <bottom style="thin">
        <color indexed="64"/>
      </bottom>
      <diagonal/>
    </border>
    <border>
      <left/>
      <right style="thin">
        <color theme="1"/>
      </right>
      <top style="thin">
        <color theme="1"/>
      </top>
      <bottom style="thin">
        <color indexed="64"/>
      </bottom>
      <diagonal/>
    </border>
    <border>
      <left/>
      <right/>
      <top style="thin">
        <color indexed="64"/>
      </top>
      <bottom style="thin">
        <color theme="1"/>
      </bottom>
      <diagonal/>
    </border>
    <border>
      <left/>
      <right style="thin">
        <color theme="1"/>
      </right>
      <top style="thin">
        <color theme="1"/>
      </top>
      <bottom style="thin">
        <color theme="1"/>
      </bottom>
      <diagonal/>
    </border>
    <border>
      <left style="thin">
        <color indexed="64"/>
      </left>
      <right/>
      <top style="thin">
        <color indexed="64"/>
      </top>
      <bottom style="thin">
        <color indexed="64"/>
      </bottom>
      <diagonal/>
    </border>
    <border>
      <left/>
      <right style="thin">
        <color indexed="64"/>
      </right>
      <top style="thin">
        <color theme="0" tint="-0.249977111117893"/>
      </top>
      <bottom style="thin">
        <color indexed="64"/>
      </bottom>
      <diagonal/>
    </border>
    <border>
      <left style="thin">
        <color theme="1"/>
      </left>
      <right/>
      <top style="thin">
        <color theme="1"/>
      </top>
      <bottom style="thin">
        <color theme="1"/>
      </bottom>
      <diagonal/>
    </border>
    <border>
      <left/>
      <right style="thin">
        <color indexed="64"/>
      </right>
      <top/>
      <bottom style="thin">
        <color theme="1"/>
      </bottom>
      <diagonal/>
    </border>
  </borders>
  <cellStyleXfs count="3">
    <xf numFmtId="0" fontId="0" fillId="0" borderId="0"/>
    <xf numFmtId="43" fontId="6" fillId="0" borderId="0" applyFont="0" applyFill="0" applyBorder="0" applyAlignment="0" applyProtection="0"/>
    <xf numFmtId="9" fontId="6" fillId="0" borderId="0" applyFont="0" applyFill="0" applyBorder="0" applyAlignment="0" applyProtection="0"/>
  </cellStyleXfs>
  <cellXfs count="291">
    <xf numFmtId="0" fontId="0" fillId="0" borderId="0" xfId="0"/>
    <xf numFmtId="0" fontId="2" fillId="0" borderId="0" xfId="0" applyFont="1" applyAlignment="1">
      <alignment horizontal="left" vertical="center"/>
    </xf>
    <xf numFmtId="0" fontId="3" fillId="0" borderId="0" xfId="0" applyFont="1" applyAlignment="1">
      <alignment horizontal="center" vertical="center"/>
    </xf>
    <xf numFmtId="0" fontId="4" fillId="2" borderId="2" xfId="0" applyFont="1" applyFill="1" applyBorder="1" applyAlignment="1">
      <alignment horizontal="center" vertical="center"/>
    </xf>
    <xf numFmtId="164" fontId="4" fillId="2" borderId="2" xfId="0" applyNumberFormat="1" applyFont="1" applyFill="1" applyBorder="1" applyAlignment="1">
      <alignment horizontal="center" vertical="center"/>
    </xf>
    <xf numFmtId="0" fontId="4" fillId="2" borderId="0" xfId="0" applyFont="1" applyFill="1" applyAlignment="1">
      <alignment horizontal="center" vertical="center"/>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0" borderId="1" xfId="0" applyFont="1" applyBorder="1" applyAlignment="1">
      <alignment horizontal="center" vertical="center"/>
    </xf>
    <xf numFmtId="164" fontId="4" fillId="0" borderId="1" xfId="0" applyNumberFormat="1" applyFont="1" applyBorder="1" applyAlignment="1">
      <alignment horizontal="center" vertical="center"/>
    </xf>
    <xf numFmtId="164" fontId="4" fillId="5" borderId="1" xfId="0" applyNumberFormat="1" applyFont="1" applyFill="1" applyBorder="1" applyAlignment="1">
      <alignment horizontal="center" vertical="center"/>
    </xf>
    <xf numFmtId="9" fontId="3" fillId="6" borderId="1" xfId="0" applyNumberFormat="1" applyFont="1" applyFill="1" applyBorder="1" applyAlignment="1">
      <alignment horizontal="center" vertical="center"/>
    </xf>
    <xf numFmtId="166" fontId="4" fillId="0" borderId="1" xfId="0" applyNumberFormat="1" applyFont="1" applyBorder="1" applyAlignment="1">
      <alignment horizontal="center" vertical="center"/>
    </xf>
    <xf numFmtId="166" fontId="4" fillId="5" borderId="1" xfId="0" applyNumberFormat="1" applyFont="1" applyFill="1" applyBorder="1" applyAlignment="1">
      <alignment horizontal="center" vertical="center"/>
    </xf>
    <xf numFmtId="167" fontId="4" fillId="0" borderId="1" xfId="0" applyNumberFormat="1" applyFont="1" applyBorder="1" applyAlignment="1">
      <alignment horizontal="center" vertical="center"/>
    </xf>
    <xf numFmtId="167" fontId="4" fillId="5" borderId="1" xfId="0" applyNumberFormat="1" applyFont="1" applyFill="1" applyBorder="1" applyAlignment="1">
      <alignment horizontal="center" vertical="center"/>
    </xf>
    <xf numFmtId="0" fontId="3" fillId="0" borderId="0" xfId="0" applyFont="1" applyAlignment="1">
      <alignment horizontal="left" vertical="center"/>
    </xf>
    <xf numFmtId="0" fontId="3" fillId="0" borderId="3" xfId="0" applyFont="1" applyBorder="1" applyAlignment="1">
      <alignment horizontal="center" vertical="center"/>
    </xf>
    <xf numFmtId="0" fontId="3" fillId="0" borderId="0" xfId="0" applyFont="1" applyAlignment="1">
      <alignment horizontal="left" vertical="top"/>
    </xf>
    <xf numFmtId="164" fontId="4" fillId="2" borderId="0" xfId="0" applyNumberFormat="1" applyFont="1" applyFill="1" applyAlignment="1">
      <alignment horizontal="center" vertical="center"/>
    </xf>
    <xf numFmtId="0" fontId="4" fillId="0" borderId="0" xfId="0" applyFont="1" applyAlignment="1">
      <alignment horizontal="center" vertical="center"/>
    </xf>
    <xf numFmtId="164" fontId="4" fillId="7" borderId="1" xfId="0" applyNumberFormat="1" applyFont="1" applyFill="1" applyBorder="1" applyAlignment="1">
      <alignment horizontal="center" vertical="center"/>
    </xf>
    <xf numFmtId="0" fontId="4" fillId="8" borderId="1" xfId="0" applyFont="1" applyFill="1" applyBorder="1" applyAlignment="1">
      <alignment horizontal="center" vertical="center"/>
    </xf>
    <xf numFmtId="0" fontId="4" fillId="8" borderId="2" xfId="0" applyFont="1" applyFill="1" applyBorder="1" applyAlignment="1">
      <alignment horizontal="center" vertical="center"/>
    </xf>
    <xf numFmtId="164" fontId="4" fillId="4" borderId="1" xfId="1" applyNumberFormat="1" applyFont="1" applyFill="1" applyBorder="1" applyAlignment="1">
      <alignment horizontal="center" vertical="center"/>
    </xf>
    <xf numFmtId="14" fontId="0" fillId="0" borderId="0" xfId="0" applyNumberFormat="1"/>
    <xf numFmtId="164" fontId="0" fillId="0" borderId="0" xfId="0" applyNumberFormat="1"/>
    <xf numFmtId="0" fontId="7" fillId="0" borderId="0" xfId="0" applyFont="1"/>
    <xf numFmtId="164" fontId="4" fillId="0" borderId="0" xfId="0" applyNumberFormat="1" applyFont="1" applyAlignment="1">
      <alignment horizontal="center" vertical="center"/>
    </xf>
    <xf numFmtId="0" fontId="0" fillId="9" borderId="0" xfId="0" applyFill="1"/>
    <xf numFmtId="0" fontId="0" fillId="0" borderId="6" xfId="0" applyBorder="1"/>
    <xf numFmtId="0" fontId="7" fillId="9" borderId="8" xfId="0" applyFont="1" applyFill="1" applyBorder="1" applyAlignment="1">
      <alignment horizontal="center"/>
    </xf>
    <xf numFmtId="14" fontId="0" fillId="0" borderId="6" xfId="0" applyNumberFormat="1" applyBorder="1"/>
    <xf numFmtId="164" fontId="3" fillId="0" borderId="10" xfId="0" applyNumberFormat="1" applyFont="1" applyBorder="1" applyAlignment="1">
      <alignment horizontal="center" vertical="center"/>
    </xf>
    <xf numFmtId="164" fontId="3" fillId="0" borderId="7" xfId="0" applyNumberFormat="1" applyFont="1" applyBorder="1" applyAlignment="1">
      <alignment horizontal="center" vertical="center"/>
    </xf>
    <xf numFmtId="164" fontId="3" fillId="0" borderId="11" xfId="0" applyNumberFormat="1" applyFont="1" applyBorder="1" applyAlignment="1">
      <alignment horizontal="center" vertical="center"/>
    </xf>
    <xf numFmtId="164" fontId="4" fillId="5" borderId="13" xfId="0" applyNumberFormat="1" applyFont="1" applyFill="1" applyBorder="1" applyAlignment="1">
      <alignment horizontal="center" vertical="center"/>
    </xf>
    <xf numFmtId="14" fontId="0" fillId="0" borderId="14" xfId="0" applyNumberFormat="1" applyBorder="1" applyAlignment="1">
      <alignment horizontal="center"/>
    </xf>
    <xf numFmtId="14" fontId="0" fillId="0" borderId="15" xfId="0" applyNumberFormat="1" applyBorder="1" applyAlignment="1">
      <alignment horizontal="center"/>
    </xf>
    <xf numFmtId="0" fontId="0" fillId="0" borderId="17" xfId="0" applyBorder="1"/>
    <xf numFmtId="14" fontId="0" fillId="0" borderId="18" xfId="0" applyNumberFormat="1" applyBorder="1" applyAlignment="1">
      <alignment horizontal="center"/>
    </xf>
    <xf numFmtId="164" fontId="0" fillId="9" borderId="19" xfId="0" applyNumberFormat="1" applyFill="1" applyBorder="1" applyAlignment="1">
      <alignment horizontal="center"/>
    </xf>
    <xf numFmtId="0" fontId="7" fillId="0" borderId="0" xfId="0" applyFont="1" applyAlignment="1">
      <alignment vertical="center"/>
    </xf>
    <xf numFmtId="0" fontId="7" fillId="0" borderId="12" xfId="0" applyFont="1" applyBorder="1" applyAlignment="1">
      <alignment vertical="center"/>
    </xf>
    <xf numFmtId="14" fontId="0" fillId="0" borderId="16" xfId="0" applyNumberFormat="1" applyBorder="1" applyAlignment="1">
      <alignment horizontal="center"/>
    </xf>
    <xf numFmtId="166" fontId="0" fillId="0" borderId="0" xfId="0" applyNumberFormat="1"/>
    <xf numFmtId="2" fontId="0" fillId="0" borderId="0" xfId="0" applyNumberFormat="1"/>
    <xf numFmtId="167" fontId="0" fillId="0" borderId="0" xfId="0" applyNumberFormat="1"/>
    <xf numFmtId="164" fontId="5" fillId="3" borderId="1" xfId="0" applyNumberFormat="1" applyFont="1" applyFill="1" applyBorder="1" applyAlignment="1">
      <alignment horizontal="center" vertical="center"/>
    </xf>
    <xf numFmtId="166" fontId="5" fillId="3" borderId="1" xfId="0" applyNumberFormat="1" applyFont="1" applyFill="1" applyBorder="1" applyAlignment="1">
      <alignment horizontal="center" vertical="center"/>
    </xf>
    <xf numFmtId="2" fontId="2" fillId="3" borderId="1" xfId="0" applyNumberFormat="1" applyFont="1" applyFill="1" applyBorder="1" applyAlignment="1">
      <alignment horizontal="center" vertical="center"/>
    </xf>
    <xf numFmtId="164" fontId="5" fillId="10" borderId="1" xfId="0" applyNumberFormat="1" applyFont="1" applyFill="1" applyBorder="1" applyAlignment="1">
      <alignment horizontal="center" vertical="center"/>
    </xf>
    <xf numFmtId="167" fontId="5" fillId="3" borderId="1" xfId="0" applyNumberFormat="1" applyFont="1" applyFill="1" applyBorder="1" applyAlignment="1">
      <alignment horizontal="center" vertical="center"/>
    </xf>
    <xf numFmtId="164" fontId="7" fillId="3" borderId="7" xfId="0" applyNumberFormat="1" applyFont="1" applyFill="1" applyBorder="1" applyAlignment="1">
      <alignment horizontal="center"/>
    </xf>
    <xf numFmtId="0" fontId="7" fillId="9" borderId="0" xfId="0" applyFont="1" applyFill="1" applyAlignment="1">
      <alignment horizontal="center"/>
    </xf>
    <xf numFmtId="164" fontId="4" fillId="5" borderId="0" xfId="0" applyNumberFormat="1" applyFont="1" applyFill="1" applyAlignment="1">
      <alignment horizontal="center" vertical="center"/>
    </xf>
    <xf numFmtId="0" fontId="7" fillId="9" borderId="7" xfId="0" applyFont="1" applyFill="1" applyBorder="1" applyAlignment="1">
      <alignment horizontal="center"/>
    </xf>
    <xf numFmtId="0" fontId="7" fillId="9" borderId="23" xfId="0" applyFont="1" applyFill="1" applyBorder="1" applyAlignment="1">
      <alignment horizontal="center"/>
    </xf>
    <xf numFmtId="9" fontId="0" fillId="0" borderId="0" xfId="0" applyNumberFormat="1"/>
    <xf numFmtId="164" fontId="4" fillId="5" borderId="5" xfId="0" applyNumberFormat="1" applyFont="1" applyFill="1" applyBorder="1" applyAlignment="1">
      <alignment horizontal="center" vertical="center"/>
    </xf>
    <xf numFmtId="0" fontId="7" fillId="9" borderId="24" xfId="0" applyFont="1" applyFill="1" applyBorder="1" applyAlignment="1">
      <alignment horizontal="center"/>
    </xf>
    <xf numFmtId="167" fontId="3"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2" fillId="12" borderId="1" xfId="0" applyNumberFormat="1" applyFont="1" applyFill="1" applyBorder="1" applyAlignment="1">
      <alignment horizontal="center" vertical="center"/>
    </xf>
    <xf numFmtId="167" fontId="2" fillId="12" borderId="1" xfId="0" applyNumberFormat="1" applyFont="1" applyFill="1" applyBorder="1" applyAlignment="1">
      <alignment horizontal="center" vertical="center"/>
    </xf>
    <xf numFmtId="166" fontId="2" fillId="12" borderId="1" xfId="0" applyNumberFormat="1" applyFont="1" applyFill="1" applyBorder="1" applyAlignment="1">
      <alignment horizontal="center" vertical="center"/>
    </xf>
    <xf numFmtId="164" fontId="2" fillId="12" borderId="1" xfId="1" applyNumberFormat="1" applyFont="1" applyFill="1" applyBorder="1" applyAlignment="1">
      <alignment horizontal="center" vertical="center"/>
    </xf>
    <xf numFmtId="164" fontId="10" fillId="0" borderId="0" xfId="0" applyNumberFormat="1" applyFont="1" applyAlignment="1">
      <alignment horizontal="center" vertical="center"/>
    </xf>
    <xf numFmtId="0" fontId="3" fillId="0" borderId="25" xfId="0" applyFont="1" applyBorder="1" applyAlignment="1">
      <alignment horizontal="center" vertical="center"/>
    </xf>
    <xf numFmtId="9" fontId="10" fillId="9" borderId="27" xfId="2" applyFont="1" applyFill="1" applyBorder="1" applyAlignment="1">
      <alignment horizontal="center" vertical="center"/>
    </xf>
    <xf numFmtId="164" fontId="10" fillId="0" borderId="26" xfId="0" applyNumberFormat="1" applyFont="1" applyBorder="1" applyAlignment="1">
      <alignment horizontal="center" vertical="center"/>
    </xf>
    <xf numFmtId="164" fontId="10" fillId="0" borderId="28" xfId="0" applyNumberFormat="1" applyFont="1" applyBorder="1" applyAlignment="1">
      <alignment horizontal="center" vertical="center"/>
    </xf>
    <xf numFmtId="164" fontId="4" fillId="0" borderId="28" xfId="0" applyNumberFormat="1" applyFont="1" applyBorder="1" applyAlignment="1">
      <alignment horizontal="center" vertical="center"/>
    </xf>
    <xf numFmtId="0" fontId="3" fillId="0" borderId="28" xfId="0" applyFont="1" applyBorder="1" applyAlignment="1">
      <alignment horizontal="center" vertical="center"/>
    </xf>
    <xf numFmtId="9" fontId="10" fillId="9" borderId="26" xfId="2" applyFont="1" applyFill="1" applyBorder="1" applyAlignment="1">
      <alignment horizontal="center" vertical="center"/>
    </xf>
    <xf numFmtId="9" fontId="10" fillId="9" borderId="29" xfId="2" applyFont="1" applyFill="1" applyBorder="1" applyAlignment="1">
      <alignment horizontal="center" vertical="center"/>
    </xf>
    <xf numFmtId="9" fontId="9" fillId="9" borderId="29" xfId="2" applyFont="1" applyFill="1" applyBorder="1" applyAlignment="1">
      <alignment horizontal="center" vertical="center"/>
    </xf>
    <xf numFmtId="9" fontId="10" fillId="9" borderId="31" xfId="2" applyFont="1" applyFill="1" applyBorder="1" applyAlignment="1">
      <alignment horizontal="center" vertical="center"/>
    </xf>
    <xf numFmtId="166" fontId="10" fillId="9" borderId="29" xfId="0" applyNumberFormat="1" applyFont="1" applyFill="1" applyBorder="1" applyAlignment="1">
      <alignment horizontal="center" vertical="center"/>
    </xf>
    <xf numFmtId="9" fontId="2" fillId="6" borderId="1" xfId="2" applyFont="1" applyFill="1" applyBorder="1" applyAlignment="1">
      <alignment horizontal="center" vertical="center"/>
    </xf>
    <xf numFmtId="166" fontId="5" fillId="11" borderId="1" xfId="0" applyNumberFormat="1" applyFont="1" applyFill="1" applyBorder="1" applyAlignment="1">
      <alignment horizontal="center" vertical="center"/>
    </xf>
    <xf numFmtId="9" fontId="2" fillId="11" borderId="1" xfId="2" applyFont="1" applyFill="1" applyBorder="1" applyAlignment="1">
      <alignment horizontal="center" vertical="center"/>
    </xf>
    <xf numFmtId="167" fontId="5" fillId="13" borderId="1" xfId="0" applyNumberFormat="1" applyFont="1" applyFill="1" applyBorder="1" applyAlignment="1">
      <alignment horizontal="center" vertical="center"/>
    </xf>
    <xf numFmtId="9" fontId="2" fillId="6" borderId="20" xfId="2" applyFont="1" applyFill="1" applyBorder="1" applyAlignment="1">
      <alignment horizontal="center" vertical="center"/>
    </xf>
    <xf numFmtId="164" fontId="4" fillId="9" borderId="0" xfId="0" applyNumberFormat="1" applyFont="1" applyFill="1" applyAlignment="1">
      <alignment horizontal="center" vertical="center"/>
    </xf>
    <xf numFmtId="164" fontId="4" fillId="0" borderId="21" xfId="0" applyNumberFormat="1" applyFont="1" applyBorder="1" applyAlignment="1">
      <alignment horizontal="center" vertical="center"/>
    </xf>
    <xf numFmtId="164" fontId="4" fillId="0" borderId="29" xfId="0" applyNumberFormat="1" applyFont="1" applyBorder="1" applyAlignment="1">
      <alignment horizontal="center" vertical="center"/>
    </xf>
    <xf numFmtId="164" fontId="3" fillId="0" borderId="15" xfId="0" applyNumberFormat="1" applyFont="1" applyBorder="1" applyAlignment="1">
      <alignment horizontal="center" vertical="center"/>
    </xf>
    <xf numFmtId="164" fontId="3" fillId="0" borderId="16" xfId="0" applyNumberFormat="1" applyFont="1" applyBorder="1" applyAlignment="1">
      <alignment horizontal="center" vertical="center"/>
    </xf>
    <xf numFmtId="0" fontId="0" fillId="0" borderId="28" xfId="0" applyBorder="1"/>
    <xf numFmtId="0" fontId="0" fillId="9" borderId="28" xfId="0" applyFill="1" applyBorder="1"/>
    <xf numFmtId="0" fontId="0" fillId="0" borderId="33" xfId="0" applyBorder="1"/>
    <xf numFmtId="0" fontId="0" fillId="0" borderId="34" xfId="0" applyBorder="1"/>
    <xf numFmtId="164" fontId="3" fillId="0" borderId="37" xfId="0" applyNumberFormat="1" applyFont="1" applyBorder="1" applyAlignment="1">
      <alignment horizontal="center" vertical="center"/>
    </xf>
    <xf numFmtId="0" fontId="0" fillId="9" borderId="29" xfId="0" applyFill="1" applyBorder="1"/>
    <xf numFmtId="0" fontId="0" fillId="9" borderId="35" xfId="0" applyFill="1" applyBorder="1"/>
    <xf numFmtId="0" fontId="0" fillId="9" borderId="38" xfId="0" applyFill="1" applyBorder="1"/>
    <xf numFmtId="0" fontId="0" fillId="9" borderId="27" xfId="0" applyFill="1" applyBorder="1"/>
    <xf numFmtId="0" fontId="0" fillId="0" borderId="39" xfId="0" applyBorder="1"/>
    <xf numFmtId="0" fontId="0" fillId="0" borderId="27" xfId="0" applyBorder="1"/>
    <xf numFmtId="0" fontId="0" fillId="0" borderId="29" xfId="0" applyBorder="1"/>
    <xf numFmtId="0" fontId="0" fillId="0" borderId="30" xfId="0" applyBorder="1"/>
    <xf numFmtId="0" fontId="0" fillId="0" borderId="42" xfId="0" applyBorder="1"/>
    <xf numFmtId="164" fontId="4" fillId="9" borderId="29" xfId="0" applyNumberFormat="1" applyFont="1" applyFill="1" applyBorder="1" applyAlignment="1">
      <alignment horizontal="center" vertical="center"/>
    </xf>
    <xf numFmtId="164" fontId="4" fillId="9" borderId="29" xfId="1" applyNumberFormat="1" applyFont="1" applyFill="1" applyBorder="1" applyAlignment="1">
      <alignment horizontal="center" vertical="center"/>
    </xf>
    <xf numFmtId="164" fontId="4" fillId="9" borderId="38" xfId="1" applyNumberFormat="1" applyFont="1" applyFill="1" applyBorder="1" applyAlignment="1">
      <alignment horizontal="center" vertical="center"/>
    </xf>
    <xf numFmtId="0" fontId="0" fillId="0" borderId="43" xfId="0" applyBorder="1"/>
    <xf numFmtId="164" fontId="4" fillId="9" borderId="40" xfId="1" applyNumberFormat="1" applyFont="1" applyFill="1" applyBorder="1" applyAlignment="1">
      <alignment horizontal="center" vertical="center"/>
    </xf>
    <xf numFmtId="164" fontId="4" fillId="9" borderId="33" xfId="1" applyNumberFormat="1" applyFont="1" applyFill="1" applyBorder="1" applyAlignment="1">
      <alignment horizontal="center" vertical="center"/>
    </xf>
    <xf numFmtId="164" fontId="4" fillId="9" borderId="34" xfId="0" applyNumberFormat="1" applyFont="1" applyFill="1" applyBorder="1" applyAlignment="1">
      <alignment horizontal="center" vertical="center"/>
    </xf>
    <xf numFmtId="0" fontId="0" fillId="0" borderId="38" xfId="0" applyBorder="1"/>
    <xf numFmtId="0" fontId="0" fillId="0" borderId="41" xfId="0" applyBorder="1"/>
    <xf numFmtId="164" fontId="4" fillId="9" borderId="42" xfId="1" applyNumberFormat="1" applyFont="1" applyFill="1" applyBorder="1" applyAlignment="1">
      <alignment horizontal="center" vertical="center"/>
    </xf>
    <xf numFmtId="0" fontId="0" fillId="0" borderId="25" xfId="0" applyBorder="1"/>
    <xf numFmtId="0" fontId="0" fillId="9" borderId="42" xfId="0" applyFill="1" applyBorder="1"/>
    <xf numFmtId="164" fontId="4" fillId="9" borderId="42" xfId="0" applyNumberFormat="1" applyFont="1" applyFill="1" applyBorder="1" applyAlignment="1">
      <alignment horizontal="center" vertical="center"/>
    </xf>
    <xf numFmtId="164" fontId="0" fillId="0" borderId="38" xfId="0" applyNumberFormat="1" applyBorder="1"/>
    <xf numFmtId="164" fontId="7" fillId="9" borderId="29" xfId="0" applyNumberFormat="1" applyFont="1" applyFill="1" applyBorder="1"/>
    <xf numFmtId="164" fontId="7" fillId="0" borderId="36" xfId="0" applyNumberFormat="1" applyFont="1" applyBorder="1"/>
    <xf numFmtId="164" fontId="7" fillId="0" borderId="0" xfId="0" applyNumberFormat="1" applyFont="1"/>
    <xf numFmtId="164" fontId="0" fillId="0" borderId="28" xfId="0" applyNumberFormat="1" applyBorder="1"/>
    <xf numFmtId="2" fontId="3" fillId="6" borderId="1" xfId="0" applyNumberFormat="1" applyFont="1" applyFill="1" applyBorder="1" applyAlignment="1">
      <alignment horizontal="center" vertical="center"/>
    </xf>
    <xf numFmtId="2" fontId="3" fillId="11" borderId="1" xfId="0" applyNumberFormat="1" applyFont="1" applyFill="1" applyBorder="1" applyAlignment="1">
      <alignment horizontal="center" vertical="center"/>
    </xf>
    <xf numFmtId="166" fontId="4" fillId="9" borderId="0" xfId="0" applyNumberFormat="1" applyFont="1" applyFill="1" applyAlignment="1">
      <alignment horizontal="center" vertical="center"/>
    </xf>
    <xf numFmtId="167" fontId="4" fillId="9" borderId="1" xfId="0" applyNumberFormat="1" applyFont="1" applyFill="1" applyBorder="1" applyAlignment="1">
      <alignment horizontal="center" vertical="center"/>
    </xf>
    <xf numFmtId="167" fontId="4" fillId="9" borderId="0" xfId="0" applyNumberFormat="1" applyFont="1" applyFill="1" applyAlignment="1">
      <alignment horizontal="center" vertical="center"/>
    </xf>
    <xf numFmtId="0" fontId="3" fillId="9" borderId="0" xfId="0" applyFont="1" applyFill="1" applyAlignment="1">
      <alignment horizontal="center" vertical="center"/>
    </xf>
    <xf numFmtId="2" fontId="2" fillId="9" borderId="0" xfId="0" applyNumberFormat="1" applyFont="1" applyFill="1" applyAlignment="1">
      <alignment horizontal="center" vertical="center"/>
    </xf>
    <xf numFmtId="14" fontId="0" fillId="9" borderId="0" xfId="0" applyNumberFormat="1" applyFill="1" applyAlignment="1">
      <alignment horizontal="center"/>
    </xf>
    <xf numFmtId="164" fontId="7" fillId="9" borderId="0" xfId="0" applyNumberFormat="1" applyFont="1" applyFill="1" applyAlignment="1">
      <alignment horizontal="center"/>
    </xf>
    <xf numFmtId="164" fontId="3" fillId="9" borderId="0" xfId="0" applyNumberFormat="1" applyFont="1" applyFill="1" applyAlignment="1">
      <alignment horizontal="center" vertical="center"/>
    </xf>
    <xf numFmtId="0" fontId="7" fillId="9" borderId="0" xfId="0" applyFont="1" applyFill="1" applyAlignment="1">
      <alignment horizontal="center" vertical="center"/>
    </xf>
    <xf numFmtId="0" fontId="7" fillId="9" borderId="0" xfId="0" applyFont="1" applyFill="1" applyAlignment="1">
      <alignment vertical="center"/>
    </xf>
    <xf numFmtId="0" fontId="3" fillId="0" borderId="46" xfId="0" applyFont="1" applyBorder="1" applyAlignment="1">
      <alignment horizontal="center" vertical="center"/>
    </xf>
    <xf numFmtId="168" fontId="3" fillId="0" borderId="46" xfId="0" applyNumberFormat="1" applyFont="1" applyBorder="1" applyAlignment="1">
      <alignment horizontal="center" vertical="center"/>
    </xf>
    <xf numFmtId="0" fontId="3" fillId="0" borderId="47" xfId="0" applyFont="1" applyBorder="1" applyAlignment="1">
      <alignment horizontal="center" vertical="center"/>
    </xf>
    <xf numFmtId="168" fontId="3" fillId="0" borderId="48" xfId="0" applyNumberFormat="1" applyFont="1" applyBorder="1" applyAlignment="1">
      <alignment horizontal="center" vertical="center"/>
    </xf>
    <xf numFmtId="0" fontId="3" fillId="0" borderId="48" xfId="0" applyFont="1" applyBorder="1" applyAlignment="1">
      <alignment horizontal="center" vertical="center"/>
    </xf>
    <xf numFmtId="0" fontId="3" fillId="0" borderId="49" xfId="0" applyFont="1" applyBorder="1" applyAlignment="1">
      <alignment horizontal="center" vertical="center"/>
    </xf>
    <xf numFmtId="164" fontId="3" fillId="0" borderId="51" xfId="0" applyNumberFormat="1" applyFont="1" applyBorder="1" applyAlignment="1">
      <alignment horizontal="center" vertical="center"/>
    </xf>
    <xf numFmtId="0" fontId="2" fillId="0" borderId="50" xfId="0" applyFont="1" applyBorder="1" applyAlignment="1">
      <alignment horizontal="center" vertical="center"/>
    </xf>
    <xf numFmtId="0" fontId="3" fillId="0" borderId="51" xfId="0" applyFont="1" applyBorder="1" applyAlignment="1">
      <alignment horizontal="center" vertical="center"/>
    </xf>
    <xf numFmtId="0" fontId="3" fillId="0" borderId="53" xfId="0" applyFont="1" applyBorder="1" applyAlignment="1">
      <alignment horizontal="center" vertical="center"/>
    </xf>
    <xf numFmtId="0" fontId="3" fillId="0" borderId="50" xfId="0" applyFont="1" applyBorder="1" applyAlignment="1">
      <alignment horizontal="center" vertical="center"/>
    </xf>
    <xf numFmtId="0" fontId="3" fillId="0" borderId="52" xfId="0" applyFont="1" applyBorder="1" applyAlignment="1">
      <alignment horizontal="center" vertical="center"/>
    </xf>
    <xf numFmtId="0" fontId="3" fillId="0" borderId="55" xfId="0" applyFont="1" applyBorder="1" applyAlignment="1">
      <alignment horizontal="center" vertical="center"/>
    </xf>
    <xf numFmtId="0" fontId="3" fillId="0" borderId="56" xfId="0" applyFont="1" applyBorder="1" applyAlignment="1">
      <alignment horizontal="center" vertical="center"/>
    </xf>
    <xf numFmtId="0" fontId="2" fillId="0" borderId="57" xfId="0" applyFont="1" applyBorder="1" applyAlignment="1">
      <alignment horizontal="center" vertical="center"/>
    </xf>
    <xf numFmtId="0" fontId="2" fillId="0" borderId="58" xfId="0" applyFont="1" applyBorder="1" applyAlignment="1">
      <alignment horizontal="center" vertical="center"/>
    </xf>
    <xf numFmtId="0" fontId="2" fillId="0" borderId="56" xfId="0" applyFont="1" applyBorder="1" applyAlignment="1">
      <alignment horizontal="center" vertical="center"/>
    </xf>
    <xf numFmtId="168" fontId="3" fillId="0" borderId="51" xfId="0" applyNumberFormat="1" applyFont="1" applyBorder="1" applyAlignment="1">
      <alignment horizontal="center" vertical="center"/>
    </xf>
    <xf numFmtId="164" fontId="3" fillId="0" borderId="53" xfId="0" applyNumberFormat="1" applyFont="1" applyBorder="1" applyAlignment="1">
      <alignment horizontal="center" vertical="center"/>
    </xf>
    <xf numFmtId="0" fontId="2" fillId="0" borderId="62" xfId="0" applyFont="1" applyBorder="1" applyAlignment="1">
      <alignment horizontal="center" vertical="center"/>
    </xf>
    <xf numFmtId="164" fontId="3" fillId="0" borderId="63" xfId="0" applyNumberFormat="1" applyFont="1" applyBorder="1" applyAlignment="1">
      <alignment horizontal="center" vertical="center"/>
    </xf>
    <xf numFmtId="0" fontId="3" fillId="0" borderId="63" xfId="0" applyFont="1" applyBorder="1" applyAlignment="1">
      <alignment horizontal="center" vertical="center"/>
    </xf>
    <xf numFmtId="0" fontId="3" fillId="0" borderId="64" xfId="0" applyFont="1" applyBorder="1" applyAlignment="1">
      <alignment horizontal="center" vertical="center"/>
    </xf>
    <xf numFmtId="0" fontId="3" fillId="0" borderId="54" xfId="0" applyFont="1" applyBorder="1" applyAlignment="1">
      <alignment horizontal="center" vertical="center"/>
    </xf>
    <xf numFmtId="0" fontId="2" fillId="0" borderId="52" xfId="0" applyFont="1" applyBorder="1" applyAlignment="1">
      <alignment horizontal="center" vertical="center"/>
    </xf>
    <xf numFmtId="0" fontId="7" fillId="9" borderId="0" xfId="0" applyFont="1" applyFill="1"/>
    <xf numFmtId="165" fontId="5" fillId="10" borderId="65" xfId="0" applyNumberFormat="1" applyFont="1" applyFill="1" applyBorder="1" applyAlignment="1">
      <alignment horizontal="center" vertical="center"/>
    </xf>
    <xf numFmtId="0" fontId="2" fillId="9" borderId="0" xfId="0" applyFont="1" applyFill="1" applyAlignment="1">
      <alignment horizontal="center" vertical="center"/>
    </xf>
    <xf numFmtId="168" fontId="3" fillId="9" borderId="0" xfId="0" applyNumberFormat="1" applyFont="1" applyFill="1" applyAlignment="1">
      <alignment horizontal="center" vertical="center"/>
    </xf>
    <xf numFmtId="166" fontId="3" fillId="0" borderId="1" xfId="0" applyNumberFormat="1" applyFont="1" applyBorder="1" applyAlignment="1">
      <alignment horizontal="center" vertical="center"/>
    </xf>
    <xf numFmtId="4" fontId="0" fillId="0" borderId="0" xfId="0" applyNumberFormat="1"/>
    <xf numFmtId="2" fontId="3" fillId="13" borderId="1" xfId="0" applyNumberFormat="1" applyFont="1" applyFill="1" applyBorder="1" applyAlignment="1">
      <alignment horizontal="center" vertical="center"/>
    </xf>
    <xf numFmtId="166" fontId="5" fillId="13" borderId="1" xfId="0" applyNumberFormat="1" applyFont="1" applyFill="1" applyBorder="1" applyAlignment="1">
      <alignment horizontal="center" vertical="center"/>
    </xf>
    <xf numFmtId="9" fontId="2" fillId="13" borderId="1" xfId="2" applyFont="1" applyFill="1" applyBorder="1" applyAlignment="1">
      <alignment horizontal="center" vertical="center"/>
    </xf>
    <xf numFmtId="164" fontId="5" fillId="13" borderId="1" xfId="0" applyNumberFormat="1" applyFont="1" applyFill="1" applyBorder="1" applyAlignment="1">
      <alignment horizontal="center" vertical="center"/>
    </xf>
    <xf numFmtId="0" fontId="3" fillId="11" borderId="1" xfId="0" applyFont="1" applyFill="1" applyBorder="1" applyAlignment="1">
      <alignment horizontal="center" vertical="center"/>
    </xf>
    <xf numFmtId="9" fontId="9" fillId="9" borderId="28" xfId="2" applyFont="1" applyFill="1" applyBorder="1" applyAlignment="1">
      <alignment horizontal="center" vertical="center"/>
    </xf>
    <xf numFmtId="170" fontId="3" fillId="6" borderId="1" xfId="0" applyNumberFormat="1" applyFont="1" applyFill="1" applyBorder="1" applyAlignment="1">
      <alignment horizontal="center" vertical="center"/>
    </xf>
    <xf numFmtId="164" fontId="4" fillId="5" borderId="7" xfId="0" applyNumberFormat="1" applyFont="1" applyFill="1" applyBorder="1" applyAlignment="1">
      <alignment horizontal="center" vertical="center"/>
    </xf>
    <xf numFmtId="14" fontId="0" fillId="0" borderId="67" xfId="0" applyNumberFormat="1" applyBorder="1" applyAlignment="1">
      <alignment horizontal="center"/>
    </xf>
    <xf numFmtId="14" fontId="0" fillId="0" borderId="45" xfId="0" applyNumberFormat="1" applyBorder="1" applyAlignment="1">
      <alignment horizontal="center"/>
    </xf>
    <xf numFmtId="14" fontId="0" fillId="0" borderId="68" xfId="0" applyNumberFormat="1" applyBorder="1" applyAlignment="1">
      <alignment horizontal="center"/>
    </xf>
    <xf numFmtId="166" fontId="4" fillId="5" borderId="20" xfId="0" applyNumberFormat="1" applyFont="1" applyFill="1" applyBorder="1" applyAlignment="1">
      <alignment horizontal="center" vertical="center"/>
    </xf>
    <xf numFmtId="166" fontId="2" fillId="3" borderId="14" xfId="0" applyNumberFormat="1" applyFont="1" applyFill="1" applyBorder="1" applyAlignment="1">
      <alignment horizontal="center" vertical="center"/>
    </xf>
    <xf numFmtId="166" fontId="2" fillId="3" borderId="15" xfId="0" applyNumberFormat="1" applyFont="1" applyFill="1" applyBorder="1" applyAlignment="1">
      <alignment horizontal="center" vertical="center"/>
    </xf>
    <xf numFmtId="166" fontId="2" fillId="3" borderId="16" xfId="0" applyNumberFormat="1" applyFont="1" applyFill="1" applyBorder="1" applyAlignment="1">
      <alignment horizontal="center" vertical="center"/>
    </xf>
    <xf numFmtId="164" fontId="2" fillId="3" borderId="14" xfId="0" applyNumberFormat="1" applyFont="1" applyFill="1" applyBorder="1" applyAlignment="1">
      <alignment horizontal="center"/>
    </xf>
    <xf numFmtId="164" fontId="2" fillId="3" borderId="15" xfId="0" applyNumberFormat="1" applyFont="1" applyFill="1" applyBorder="1" applyAlignment="1">
      <alignment horizontal="center"/>
    </xf>
    <xf numFmtId="164" fontId="2" fillId="3" borderId="16" xfId="0" applyNumberFormat="1" applyFont="1" applyFill="1" applyBorder="1" applyAlignment="1">
      <alignment horizontal="center"/>
    </xf>
    <xf numFmtId="167" fontId="4" fillId="5" borderId="20" xfId="0" applyNumberFormat="1" applyFont="1" applyFill="1" applyBorder="1" applyAlignment="1">
      <alignment horizontal="center" vertical="center"/>
    </xf>
    <xf numFmtId="167" fontId="2" fillId="3" borderId="14" xfId="0" applyNumberFormat="1" applyFont="1" applyFill="1" applyBorder="1" applyAlignment="1">
      <alignment horizontal="center" vertical="center"/>
    </xf>
    <xf numFmtId="167" fontId="2" fillId="3" borderId="15" xfId="0" applyNumberFormat="1" applyFont="1" applyFill="1" applyBorder="1" applyAlignment="1">
      <alignment horizontal="center" vertical="center"/>
    </xf>
    <xf numFmtId="167" fontId="2" fillId="3" borderId="16" xfId="0" applyNumberFormat="1" applyFont="1" applyFill="1" applyBorder="1" applyAlignment="1">
      <alignment horizontal="center" vertical="center"/>
    </xf>
    <xf numFmtId="0" fontId="3" fillId="0" borderId="20" xfId="0" applyFont="1" applyBorder="1" applyAlignment="1">
      <alignment horizontal="center" vertical="center"/>
    </xf>
    <xf numFmtId="2" fontId="2" fillId="3" borderId="14" xfId="0" applyNumberFormat="1" applyFont="1" applyFill="1" applyBorder="1" applyAlignment="1">
      <alignment horizontal="center" vertical="center"/>
    </xf>
    <xf numFmtId="2" fontId="2" fillId="3" borderId="15" xfId="0" applyNumberFormat="1" applyFont="1" applyFill="1" applyBorder="1" applyAlignment="1">
      <alignment horizontal="center" vertical="center"/>
    </xf>
    <xf numFmtId="2" fontId="2" fillId="3" borderId="16" xfId="0" applyNumberFormat="1" applyFont="1" applyFill="1" applyBorder="1" applyAlignment="1">
      <alignment horizontal="center" vertical="center"/>
    </xf>
    <xf numFmtId="164" fontId="0" fillId="9" borderId="69" xfId="0" applyNumberFormat="1" applyFill="1" applyBorder="1" applyAlignment="1">
      <alignment horizontal="center"/>
    </xf>
    <xf numFmtId="164" fontId="4" fillId="5" borderId="20" xfId="0" applyNumberFormat="1" applyFont="1" applyFill="1" applyBorder="1" applyAlignment="1">
      <alignment horizontal="center" vertical="center"/>
    </xf>
    <xf numFmtId="0" fontId="3" fillId="0" borderId="71" xfId="0" applyFont="1" applyBorder="1" applyAlignment="1">
      <alignment vertical="center"/>
    </xf>
    <xf numFmtId="0" fontId="3" fillId="0" borderId="72" xfId="0" applyFont="1" applyBorder="1" applyAlignment="1">
      <alignment vertical="center"/>
    </xf>
    <xf numFmtId="0" fontId="3" fillId="0" borderId="9" xfId="0" applyFont="1" applyBorder="1" applyAlignment="1">
      <alignment horizontal="center" vertical="center"/>
    </xf>
    <xf numFmtId="0" fontId="3" fillId="0" borderId="6" xfId="0" applyFont="1" applyBorder="1" applyAlignment="1">
      <alignment horizontal="center" vertical="center"/>
    </xf>
    <xf numFmtId="0" fontId="3" fillId="0" borderId="11" xfId="0" applyFont="1" applyBorder="1" applyAlignment="1">
      <alignment horizontal="center" vertical="center"/>
    </xf>
    <xf numFmtId="0" fontId="2" fillId="3" borderId="14" xfId="0" applyFont="1" applyFill="1" applyBorder="1" applyAlignment="1">
      <alignment horizontal="left" vertical="center"/>
    </xf>
    <xf numFmtId="0" fontId="3" fillId="3" borderId="15" xfId="0" applyFont="1" applyFill="1" applyBorder="1" applyAlignment="1">
      <alignment horizontal="left" vertical="center"/>
    </xf>
    <xf numFmtId="0" fontId="3" fillId="3" borderId="16" xfId="0" applyFont="1" applyFill="1" applyBorder="1" applyAlignment="1">
      <alignment horizontal="center" vertical="center"/>
    </xf>
    <xf numFmtId="0" fontId="9" fillId="0" borderId="0" xfId="0" applyFont="1" applyAlignment="1">
      <alignment horizontal="center" vertical="center"/>
    </xf>
    <xf numFmtId="9" fontId="9" fillId="0" borderId="0" xfId="0" applyNumberFormat="1" applyFont="1" applyAlignment="1">
      <alignment horizontal="center" vertical="center"/>
    </xf>
    <xf numFmtId="0" fontId="2" fillId="0" borderId="73" xfId="0" applyFont="1" applyBorder="1" applyAlignment="1">
      <alignment horizontal="center" vertical="center"/>
    </xf>
    <xf numFmtId="0" fontId="7" fillId="0" borderId="71" xfId="0" applyFont="1" applyBorder="1" applyAlignment="1">
      <alignment vertical="center"/>
    </xf>
    <xf numFmtId="0" fontId="7" fillId="0" borderId="4" xfId="0" applyFont="1" applyBorder="1" applyAlignment="1">
      <alignment vertical="center"/>
    </xf>
    <xf numFmtId="0" fontId="7" fillId="0" borderId="4" xfId="0" applyFont="1" applyBorder="1" applyAlignment="1">
      <alignment horizontal="center" vertical="center"/>
    </xf>
    <xf numFmtId="0" fontId="14" fillId="3" borderId="74" xfId="0" applyFont="1" applyFill="1" applyBorder="1" applyAlignment="1">
      <alignment horizontal="center"/>
    </xf>
    <xf numFmtId="0" fontId="14" fillId="3" borderId="5" xfId="0" applyFont="1" applyFill="1" applyBorder="1" applyAlignment="1">
      <alignment horizontal="center"/>
    </xf>
    <xf numFmtId="0" fontId="14" fillId="3" borderId="1" xfId="0" applyFont="1" applyFill="1" applyBorder="1" applyAlignment="1">
      <alignment horizontal="center"/>
    </xf>
    <xf numFmtId="0" fontId="15" fillId="0" borderId="74" xfId="0" applyFont="1" applyBorder="1"/>
    <xf numFmtId="0" fontId="14" fillId="9" borderId="12" xfId="0" applyFont="1" applyFill="1" applyBorder="1" applyAlignment="1">
      <alignment horizontal="center"/>
    </xf>
    <xf numFmtId="0" fontId="14" fillId="3" borderId="75" xfId="0" applyFont="1" applyFill="1" applyBorder="1" applyAlignment="1">
      <alignment horizontal="center"/>
    </xf>
    <xf numFmtId="0" fontId="14" fillId="3" borderId="12" xfId="0" applyFont="1" applyFill="1" applyBorder="1" applyAlignment="1">
      <alignment horizontal="center"/>
    </xf>
    <xf numFmtId="0" fontId="15" fillId="0" borderId="74" xfId="0" applyFont="1" applyBorder="1" applyAlignment="1">
      <alignment horizontal="center"/>
    </xf>
    <xf numFmtId="164" fontId="16" fillId="0" borderId="10" xfId="0" applyNumberFormat="1" applyFont="1" applyBorder="1" applyAlignment="1">
      <alignment horizontal="center" vertical="center"/>
    </xf>
    <xf numFmtId="164" fontId="16" fillId="0" borderId="1" xfId="0" applyNumberFormat="1" applyFont="1" applyBorder="1" applyAlignment="1">
      <alignment horizontal="center" vertical="center"/>
    </xf>
    <xf numFmtId="166" fontId="16" fillId="0" borderId="1" xfId="0" applyNumberFormat="1" applyFont="1" applyBorder="1" applyAlignment="1">
      <alignment horizontal="center" vertical="center"/>
    </xf>
    <xf numFmtId="167" fontId="16" fillId="0" borderId="21" xfId="0" applyNumberFormat="1" applyFont="1" applyBorder="1" applyAlignment="1">
      <alignment horizontal="center" vertical="center"/>
    </xf>
    <xf numFmtId="0" fontId="16" fillId="0" borderId="21" xfId="0" applyFont="1" applyBorder="1" applyAlignment="1">
      <alignment horizontal="center" vertical="center"/>
    </xf>
    <xf numFmtId="0" fontId="15" fillId="0" borderId="74" xfId="0" applyFont="1" applyBorder="1" applyAlignment="1">
      <alignment horizontal="center" vertical="center"/>
    </xf>
    <xf numFmtId="14" fontId="15" fillId="0" borderId="12" xfId="0" applyNumberFormat="1" applyFont="1" applyBorder="1" applyAlignment="1">
      <alignment horizontal="center"/>
    </xf>
    <xf numFmtId="164" fontId="16" fillId="0" borderId="7" xfId="0" applyNumberFormat="1" applyFont="1" applyBorder="1" applyAlignment="1">
      <alignment horizontal="center" vertical="center"/>
    </xf>
    <xf numFmtId="167" fontId="16" fillId="0" borderId="1" xfId="0" applyNumberFormat="1" applyFont="1" applyBorder="1" applyAlignment="1">
      <alignment horizontal="center" vertical="center"/>
    </xf>
    <xf numFmtId="0" fontId="16" fillId="0" borderId="1" xfId="0" applyFont="1" applyBorder="1" applyAlignment="1">
      <alignment horizontal="center" vertical="center"/>
    </xf>
    <xf numFmtId="164" fontId="16" fillId="0" borderId="11" xfId="0" applyNumberFormat="1" applyFont="1" applyBorder="1" applyAlignment="1">
      <alignment horizontal="center" vertical="center"/>
    </xf>
    <xf numFmtId="164" fontId="16" fillId="5" borderId="13" xfId="0" applyNumberFormat="1" applyFont="1" applyFill="1" applyBorder="1" applyAlignment="1">
      <alignment horizontal="center" vertical="center"/>
    </xf>
    <xf numFmtId="164" fontId="16" fillId="5" borderId="1" xfId="0" applyNumberFormat="1" applyFont="1" applyFill="1" applyBorder="1" applyAlignment="1">
      <alignment horizontal="center" vertical="center"/>
    </xf>
    <xf numFmtId="166" fontId="16" fillId="5" borderId="1" xfId="0" applyNumberFormat="1" applyFont="1" applyFill="1" applyBorder="1" applyAlignment="1">
      <alignment horizontal="center" vertical="center"/>
    </xf>
    <xf numFmtId="167" fontId="16" fillId="5" borderId="1" xfId="0" applyNumberFormat="1" applyFont="1" applyFill="1" applyBorder="1" applyAlignment="1">
      <alignment horizontal="center" vertical="center"/>
    </xf>
    <xf numFmtId="164" fontId="16" fillId="5" borderId="76"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9" borderId="74" xfId="0" applyFill="1" applyBorder="1"/>
    <xf numFmtId="0" fontId="14" fillId="9" borderId="74" xfId="0" applyFont="1" applyFill="1" applyBorder="1" applyAlignment="1">
      <alignment horizontal="center"/>
    </xf>
    <xf numFmtId="0" fontId="14" fillId="9" borderId="5" xfId="0" applyFont="1" applyFill="1" applyBorder="1" applyAlignment="1">
      <alignment horizontal="center"/>
    </xf>
    <xf numFmtId="0" fontId="14" fillId="9" borderId="1" xfId="0" applyFont="1" applyFill="1" applyBorder="1" applyAlignment="1">
      <alignment horizontal="center"/>
    </xf>
    <xf numFmtId="0" fontId="0" fillId="9" borderId="74" xfId="0" applyFill="1" applyBorder="1" applyAlignment="1">
      <alignment horizontal="center"/>
    </xf>
    <xf numFmtId="164" fontId="3" fillId="9" borderId="12" xfId="0" applyNumberFormat="1" applyFont="1" applyFill="1" applyBorder="1" applyAlignment="1">
      <alignment horizontal="center" vertical="center"/>
    </xf>
    <xf numFmtId="164" fontId="4" fillId="9" borderId="5" xfId="0" applyNumberFormat="1" applyFont="1" applyFill="1" applyBorder="1" applyAlignment="1">
      <alignment horizontal="center" vertical="center"/>
    </xf>
    <xf numFmtId="164" fontId="4" fillId="9" borderId="1" xfId="0" applyNumberFormat="1" applyFont="1" applyFill="1" applyBorder="1" applyAlignment="1">
      <alignment horizontal="center" vertical="center"/>
    </xf>
    <xf numFmtId="0" fontId="0" fillId="9" borderId="0" xfId="0" applyFill="1" applyAlignment="1">
      <alignment horizontal="left"/>
    </xf>
    <xf numFmtId="164" fontId="0" fillId="9" borderId="0" xfId="0" applyNumberFormat="1" applyFill="1"/>
    <xf numFmtId="0" fontId="17" fillId="14" borderId="11" xfId="0" applyFont="1" applyFill="1" applyBorder="1" applyAlignment="1">
      <alignment horizontal="center"/>
    </xf>
    <xf numFmtId="0" fontId="14" fillId="14" borderId="16" xfId="0" applyFont="1" applyFill="1" applyBorder="1" applyAlignment="1">
      <alignment horizontal="center"/>
    </xf>
    <xf numFmtId="0" fontId="14" fillId="14" borderId="68" xfId="0" applyFont="1" applyFill="1" applyBorder="1" applyAlignment="1">
      <alignment horizontal="center"/>
    </xf>
    <xf numFmtId="14" fontId="0" fillId="14" borderId="74" xfId="0" applyNumberFormat="1" applyFill="1" applyBorder="1" applyAlignment="1">
      <alignment horizontal="left"/>
    </xf>
    <xf numFmtId="164" fontId="3" fillId="14" borderId="12" xfId="0" applyNumberFormat="1" applyFont="1" applyFill="1" applyBorder="1" applyAlignment="1">
      <alignment horizontal="center" vertical="center"/>
    </xf>
    <xf numFmtId="164" fontId="3" fillId="14" borderId="77" xfId="0" applyNumberFormat="1" applyFont="1" applyFill="1" applyBorder="1" applyAlignment="1">
      <alignment horizontal="center" vertical="center"/>
    </xf>
    <xf numFmtId="2" fontId="3" fillId="14" borderId="12" xfId="0" applyNumberFormat="1" applyFont="1" applyFill="1" applyBorder="1" applyAlignment="1">
      <alignment horizontal="center" vertical="center"/>
    </xf>
    <xf numFmtId="2" fontId="3" fillId="14" borderId="77" xfId="0" applyNumberFormat="1" applyFont="1" applyFill="1" applyBorder="1" applyAlignment="1">
      <alignment horizontal="center" vertical="center"/>
    </xf>
    <xf numFmtId="14" fontId="0" fillId="14" borderId="10" xfId="0" applyNumberFormat="1" applyFill="1" applyBorder="1" applyAlignment="1">
      <alignment horizontal="left"/>
    </xf>
    <xf numFmtId="9" fontId="3" fillId="14" borderId="14" xfId="0" applyNumberFormat="1" applyFont="1" applyFill="1" applyBorder="1" applyAlignment="1">
      <alignment horizontal="center" vertical="center"/>
    </xf>
    <xf numFmtId="9" fontId="3" fillId="14" borderId="67" xfId="0" applyNumberFormat="1" applyFont="1" applyFill="1" applyBorder="1" applyAlignment="1">
      <alignment horizontal="center" vertical="center"/>
    </xf>
    <xf numFmtId="170" fontId="0" fillId="3" borderId="43" xfId="0" applyNumberFormat="1" applyFill="1" applyBorder="1" applyAlignment="1">
      <alignment horizontal="center"/>
    </xf>
    <xf numFmtId="170" fontId="0" fillId="3" borderId="44" xfId="0" applyNumberFormat="1" applyFill="1" applyBorder="1" applyAlignment="1">
      <alignment horizontal="center"/>
    </xf>
    <xf numFmtId="0" fontId="11" fillId="0" borderId="45" xfId="0" applyFont="1" applyBorder="1" applyAlignment="1">
      <alignment horizontal="center"/>
    </xf>
    <xf numFmtId="0" fontId="11" fillId="0" borderId="0" xfId="0" applyFont="1" applyAlignment="1">
      <alignment horizontal="center"/>
    </xf>
    <xf numFmtId="0" fontId="12" fillId="3" borderId="40" xfId="0" applyFont="1" applyFill="1" applyBorder="1" applyAlignment="1">
      <alignment horizontal="center"/>
    </xf>
    <xf numFmtId="0" fontId="12" fillId="3" borderId="34" xfId="0" applyFont="1" applyFill="1" applyBorder="1" applyAlignment="1">
      <alignment horizontal="center"/>
    </xf>
    <xf numFmtId="169" fontId="0" fillId="3" borderId="43" xfId="0" applyNumberFormat="1" applyFill="1" applyBorder="1" applyAlignment="1">
      <alignment horizontal="center"/>
    </xf>
    <xf numFmtId="169" fontId="0" fillId="3" borderId="44" xfId="0" applyNumberFormat="1" applyFill="1" applyBorder="1" applyAlignment="1">
      <alignment horizontal="center"/>
    </xf>
    <xf numFmtId="0" fontId="7" fillId="0" borderId="10" xfId="0" applyFont="1" applyBorder="1" applyAlignment="1">
      <alignment horizontal="center" vertical="center"/>
    </xf>
    <xf numFmtId="0" fontId="7" fillId="0" borderId="7" xfId="0" applyFont="1" applyBorder="1" applyAlignment="1">
      <alignment horizontal="center" vertical="center"/>
    </xf>
    <xf numFmtId="0" fontId="7" fillId="0" borderId="11" xfId="0" applyFont="1" applyBorder="1" applyAlignment="1">
      <alignment horizontal="center" vertical="center"/>
    </xf>
    <xf numFmtId="0" fontId="11" fillId="0" borderId="32" xfId="0" applyFont="1" applyBorder="1" applyAlignment="1">
      <alignment horizontal="center"/>
    </xf>
    <xf numFmtId="0" fontId="11" fillId="0" borderId="34" xfId="0" applyFont="1" applyBorder="1" applyAlignment="1">
      <alignment horizontal="center"/>
    </xf>
    <xf numFmtId="0" fontId="7" fillId="0" borderId="0" xfId="0" applyFont="1" applyAlignment="1">
      <alignment horizontal="center"/>
    </xf>
    <xf numFmtId="0" fontId="0" fillId="0" borderId="0" xfId="0" applyAlignment="1">
      <alignment horizontal="center"/>
    </xf>
    <xf numFmtId="0" fontId="8" fillId="0" borderId="0" xfId="0" applyFont="1" applyAlignment="1">
      <alignment horizontal="center" vertical="center"/>
    </xf>
    <xf numFmtId="0" fontId="7" fillId="3" borderId="3" xfId="0" applyFont="1" applyFill="1" applyBorder="1" applyAlignment="1">
      <alignment horizontal="center"/>
    </xf>
    <xf numFmtId="0" fontId="7" fillId="3" borderId="9" xfId="0" applyFont="1" applyFill="1" applyBorder="1" applyAlignment="1">
      <alignment horizontal="center"/>
    </xf>
    <xf numFmtId="0" fontId="3" fillId="0" borderId="3" xfId="0" applyFont="1" applyBorder="1" applyAlignment="1">
      <alignment horizontal="center" vertical="center"/>
    </xf>
    <xf numFmtId="0" fontId="2" fillId="0" borderId="20" xfId="0" applyFont="1" applyBorder="1" applyAlignment="1">
      <alignment horizontal="center" vertical="center"/>
    </xf>
    <xf numFmtId="0" fontId="2" fillId="0" borderId="22" xfId="0" applyFont="1" applyBorder="1" applyAlignment="1">
      <alignment horizontal="center" vertical="center"/>
    </xf>
    <xf numFmtId="0" fontId="2" fillId="0" borderId="66" xfId="0" applyFont="1" applyBorder="1" applyAlignment="1">
      <alignment horizontal="center" vertical="center"/>
    </xf>
    <xf numFmtId="0" fontId="3" fillId="6" borderId="0" xfId="0" applyFont="1" applyFill="1" applyAlignment="1">
      <alignment horizontal="center" vertical="center"/>
    </xf>
    <xf numFmtId="0" fontId="18" fillId="0" borderId="0" xfId="0" applyFont="1" applyAlignment="1">
      <alignment horizontal="center" vertical="center"/>
    </xf>
    <xf numFmtId="0" fontId="18" fillId="0" borderId="70" xfId="0" applyFont="1" applyBorder="1" applyAlignment="1">
      <alignment horizontal="center" vertical="center"/>
    </xf>
    <xf numFmtId="0" fontId="18" fillId="0" borderId="6" xfId="0" applyFont="1" applyBorder="1" applyAlignment="1">
      <alignment horizontal="center" vertical="center"/>
    </xf>
    <xf numFmtId="0" fontId="18" fillId="0" borderId="78" xfId="0" applyFont="1" applyBorder="1" applyAlignment="1">
      <alignment horizontal="center" vertical="center"/>
    </xf>
    <xf numFmtId="0" fontId="2" fillId="0" borderId="70" xfId="0" applyFont="1" applyBorder="1" applyAlignment="1">
      <alignment horizontal="center" vertical="center"/>
    </xf>
    <xf numFmtId="0" fontId="2" fillId="0" borderId="21" xfId="0" applyFont="1" applyBorder="1" applyAlignment="1">
      <alignment horizontal="center" vertical="center"/>
    </xf>
    <xf numFmtId="0" fontId="7" fillId="9" borderId="0" xfId="0" applyFont="1" applyFill="1" applyAlignment="1">
      <alignment horizontal="center" vertical="center"/>
    </xf>
    <xf numFmtId="0" fontId="7" fillId="9" borderId="0" xfId="0" applyFont="1" applyFill="1" applyAlignment="1">
      <alignment horizontal="center"/>
    </xf>
    <xf numFmtId="0" fontId="13" fillId="9" borderId="0" xfId="0" applyFont="1" applyFill="1" applyAlignment="1">
      <alignment horizontal="center" vertical="center" textRotation="45"/>
    </xf>
    <xf numFmtId="0" fontId="13" fillId="3" borderId="59" xfId="0" applyFont="1" applyFill="1" applyBorder="1" applyAlignment="1">
      <alignment horizontal="center" vertical="center" textRotation="45"/>
    </xf>
    <xf numFmtId="0" fontId="13" fillId="3" borderId="60" xfId="0" applyFont="1" applyFill="1" applyBorder="1" applyAlignment="1">
      <alignment horizontal="center" vertical="center" textRotation="45"/>
    </xf>
    <xf numFmtId="0" fontId="13" fillId="3" borderId="61" xfId="0" applyFont="1" applyFill="1" applyBorder="1" applyAlignment="1">
      <alignment horizontal="center" vertical="center" textRotation="45"/>
    </xf>
    <xf numFmtId="0" fontId="0" fillId="0" borderId="0" xfId="0" applyNumberFormat="1"/>
    <xf numFmtId="0" fontId="19" fillId="0" borderId="0" xfId="0" applyFont="1"/>
  </cellXfs>
  <cellStyles count="3">
    <cellStyle name="Comma" xfId="1" builtinId="3"/>
    <cellStyle name="Normal" xfId="0" builtinId="0"/>
    <cellStyle name="Percent" xfId="2" builtinId="5"/>
  </cellStyles>
  <dxfs count="67">
    <dxf>
      <numFmt numFmtId="4" formatCode="#,##0.00"/>
    </dxf>
    <dxf>
      <numFmt numFmtId="2" formatCode="0.00"/>
    </dxf>
    <dxf>
      <numFmt numFmtId="2" formatCode="0.00"/>
    </dxf>
    <dxf>
      <numFmt numFmtId="19" formatCode="m/d/yyyy"/>
    </dxf>
    <dxf>
      <numFmt numFmtId="4" formatCode="#,##0.00"/>
    </dxf>
    <dxf>
      <numFmt numFmtId="2" formatCode="0.00"/>
    </dxf>
    <dxf>
      <numFmt numFmtId="2" formatCode="0.00"/>
    </dxf>
    <dxf>
      <numFmt numFmtId="19" formatCode="m/d/yyyy"/>
    </dxf>
    <dxf>
      <numFmt numFmtId="4" formatCode="#,##0.00"/>
    </dxf>
    <dxf>
      <numFmt numFmtId="167" formatCode="[$¥-804]#,##0"/>
    </dxf>
    <dxf>
      <numFmt numFmtId="167" formatCode="[$¥-804]#,##0"/>
    </dxf>
    <dxf>
      <numFmt numFmtId="167" formatCode="[$¥-804]#,##0"/>
    </dxf>
    <dxf>
      <numFmt numFmtId="19" formatCode="m/d/yyyy"/>
    </dxf>
    <dxf>
      <numFmt numFmtId="4" formatCode="#,##0.00"/>
    </dxf>
    <dxf>
      <numFmt numFmtId="166" formatCode="[$USD]\ #,##0"/>
    </dxf>
    <dxf>
      <numFmt numFmtId="166" formatCode="[$USD]\ #,##0"/>
    </dxf>
    <dxf>
      <numFmt numFmtId="166" formatCode="[$USD]\ #,##0"/>
    </dxf>
    <dxf>
      <numFmt numFmtId="19" formatCode="m/d/yyyy"/>
    </dxf>
    <dxf>
      <numFmt numFmtId="4" formatCode="#,##0.00"/>
    </dxf>
    <dxf>
      <numFmt numFmtId="164" formatCode="&quot;RM&quot;#,##0"/>
    </dxf>
    <dxf>
      <numFmt numFmtId="164" formatCode="&quot;RM&quot;#,##0"/>
    </dxf>
    <dxf>
      <numFmt numFmtId="164" formatCode="&quot;RM&quot;#,##0"/>
    </dxf>
    <dxf>
      <numFmt numFmtId="19" formatCode="m/d/yyyy"/>
    </dxf>
    <dxf>
      <numFmt numFmtId="4" formatCode="#,##0.00"/>
    </dxf>
    <dxf>
      <numFmt numFmtId="164" formatCode="&quot;RM&quot;#,##0"/>
    </dxf>
    <dxf>
      <numFmt numFmtId="164" formatCode="&quot;RM&quot;#,##0"/>
    </dxf>
    <dxf>
      <numFmt numFmtId="164" formatCode="&quot;RM&quot;#,##0"/>
    </dxf>
    <dxf>
      <numFmt numFmtId="19" formatCode="m/d/yyyy"/>
    </dxf>
    <dxf>
      <numFmt numFmtId="4" formatCode="#,##0.00"/>
    </dxf>
    <dxf>
      <numFmt numFmtId="164" formatCode="&quot;RM&quot;#,##0"/>
    </dxf>
    <dxf>
      <numFmt numFmtId="164" formatCode="&quot;RM&quot;#,##0"/>
    </dxf>
    <dxf>
      <numFmt numFmtId="164" formatCode="&quot;RM&quot;#,##0"/>
    </dxf>
    <dxf>
      <numFmt numFmtId="19" formatCode="m/d/yyyy"/>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164" formatCode="&quot;RM&quot;#,##0"/>
    </dxf>
    <dxf>
      <font>
        <b val="0"/>
        <i val="0"/>
        <strike val="0"/>
        <condense val="0"/>
        <extend val="0"/>
        <outline val="0"/>
        <shadow val="0"/>
        <u val="none"/>
        <vertAlign val="baseline"/>
        <sz val="12"/>
        <color auto="1"/>
        <name val="Rockwell"/>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Rockwell"/>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Rockwell"/>
        <family val="2"/>
        <scheme val="minor"/>
      </font>
      <numFmt numFmtId="164" formatCode="&quot;RM&quot;#,##0"/>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Rockwell"/>
        <family val="2"/>
        <scheme val="minor"/>
      </font>
      <numFmt numFmtId="167" formatCode="[$¥-804]#,##0"/>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Rockwell"/>
        <family val="2"/>
        <scheme val="minor"/>
      </font>
      <numFmt numFmtId="164" formatCode="&quot;RM&quot;#,##0"/>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Rockwell"/>
        <family val="2"/>
        <scheme val="minor"/>
      </font>
      <numFmt numFmtId="166" formatCode="[$USD]\ #,##0"/>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Rockwell"/>
        <family val="2"/>
        <scheme val="minor"/>
      </font>
      <numFmt numFmtId="164" formatCode="&quot;RM&quot;#,##0"/>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Rockwell"/>
        <family val="2"/>
        <scheme val="minor"/>
      </font>
      <numFmt numFmtId="164" formatCode="&quot;RM&quot;#,##0"/>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Rockwell"/>
        <family val="2"/>
        <scheme val="minor"/>
      </font>
      <numFmt numFmtId="164" formatCode="&quot;RM&quot;#,##0"/>
      <fill>
        <patternFill patternType="solid">
          <fgColor indexed="64"/>
          <bgColor theme="4" tint="0.79998168889431442"/>
        </patternFill>
      </fill>
      <alignment horizontal="center" vertical="center" textRotation="0" wrapText="0" indent="0" justifyLastLine="0" shrinkToFit="0" readingOrder="0"/>
      <border diagonalUp="0" diagonalDown="0" outline="0">
        <left/>
        <right style="thin">
          <color theme="1"/>
        </right>
        <top/>
        <bottom style="thin">
          <color theme="0" tint="-0.249977111117893"/>
        </bottom>
      </border>
    </dxf>
    <dxf>
      <font>
        <strike val="0"/>
        <outline val="0"/>
        <shadow val="0"/>
        <u val="none"/>
        <vertAlign val="baseline"/>
        <color auto="1"/>
        <name val="Rockwell"/>
        <family val="2"/>
        <scheme val="minor"/>
      </font>
      <numFmt numFmtId="19" formatCode="m/d/yyyy"/>
      <alignment horizontal="center" vertical="bottom" textRotation="0" wrapText="0" indent="0" justifyLastLine="0" shrinkToFit="0" readingOrder="0"/>
      <border diagonalUp="0" diagonalDown="0" outline="0">
        <left style="thin">
          <color theme="1"/>
        </left>
        <right style="thin">
          <color theme="1"/>
        </right>
        <top style="thin">
          <color theme="1"/>
        </top>
        <bottom style="thin">
          <color theme="1"/>
        </bottom>
      </border>
    </dxf>
    <dxf>
      <font>
        <strike val="0"/>
        <outline val="0"/>
        <shadow val="0"/>
        <u val="none"/>
        <vertAlign val="baseline"/>
        <color auto="1"/>
        <name val="Rockwell"/>
        <family val="2"/>
        <scheme val="minor"/>
      </font>
      <alignment horizontal="center" vertical="center" textRotation="0" wrapText="0" indent="0" justifyLastLine="0" shrinkToFit="0" readingOrder="0"/>
      <border diagonalUp="0" diagonalDown="0" outline="0">
        <left/>
        <right style="thin">
          <color theme="1"/>
        </right>
        <top style="thin">
          <color theme="1"/>
        </top>
        <bottom style="thin">
          <color theme="1"/>
        </bottom>
      </border>
    </dxf>
    <dxf>
      <border outline="0">
        <left style="thin">
          <color theme="1"/>
        </left>
      </border>
    </dxf>
    <dxf>
      <font>
        <b val="0"/>
        <i val="0"/>
        <strike val="0"/>
        <condense val="0"/>
        <extend val="0"/>
        <outline val="0"/>
        <shadow val="0"/>
        <u val="none"/>
        <vertAlign val="baseline"/>
        <sz val="12"/>
        <color auto="1"/>
        <name val="Rockwell"/>
        <family val="2"/>
        <scheme val="minor"/>
      </font>
      <fill>
        <patternFill patternType="solid">
          <fgColor indexed="64"/>
          <bgColor theme="4" tint="0.79998168889431442"/>
        </patternFill>
      </fill>
      <alignment horizontal="center" vertical="center" textRotation="0" wrapText="0" indent="0" justifyLastLine="0" shrinkToFit="0" readingOrder="0"/>
    </dxf>
    <dxf>
      <font>
        <strike val="0"/>
        <outline val="0"/>
        <shadow val="0"/>
        <u val="none"/>
        <vertAlign val="baseline"/>
        <color auto="1"/>
        <name val="Rockwell"/>
        <family val="2"/>
        <scheme val="minor"/>
      </font>
    </dxf>
    <dxf>
      <fill>
        <patternFill>
          <fgColor indexed="64"/>
          <bgColor rgb="FF0070C0"/>
        </patternFill>
      </fill>
    </dxf>
    <dxf>
      <fill>
        <patternFill>
          <fgColor indexed="64"/>
          <bgColor rgb="FF0070C0"/>
        </patternFill>
      </fill>
    </dxf>
    <dxf>
      <fill>
        <patternFill>
          <fgColor indexed="64"/>
          <bgColor rgb="FF0070C0"/>
        </patternFill>
      </fill>
    </dxf>
    <dxf>
      <fill>
        <patternFill>
          <fgColor indexed="64"/>
          <bgColor rgb="FF0070C0"/>
        </patternFill>
      </fill>
    </dxf>
    <dxf>
      <fill>
        <patternFill>
          <fgColor indexed="64"/>
          <bgColor rgb="FF0070C0"/>
        </patternFill>
      </fill>
    </dxf>
    <dxf>
      <numFmt numFmtId="19" formatCode="m/d/yyyy"/>
      <fill>
        <patternFill>
          <fgColor indexed="64"/>
          <bgColor rgb="FF0070C0"/>
        </patternFill>
      </fill>
      <alignment horizontal="left" vertical="bottom" textRotation="0" wrapText="0" indent="0" justifyLastLine="0" shrinkToFit="0" readingOrder="0"/>
      <border diagonalUp="0" diagonalDown="0" outline="0">
        <left/>
        <right style="thin">
          <color theme="1"/>
        </right>
        <top style="thin">
          <color theme="1"/>
        </top>
        <bottom style="thin">
          <color theme="1"/>
        </bottom>
      </border>
    </dxf>
    <dxf>
      <border outline="0">
        <top style="thin">
          <color theme="1"/>
        </top>
      </border>
    </dxf>
    <dxf>
      <border outline="0">
        <left style="thin">
          <color theme="1"/>
        </left>
        <right style="thin">
          <color theme="1"/>
        </right>
        <top style="thin">
          <color theme="1"/>
        </top>
        <bottom style="thin">
          <color theme="1"/>
        </bottom>
      </border>
    </dxf>
    <dxf>
      <fill>
        <patternFill>
          <fgColor indexed="64"/>
          <bgColor rgb="FF0070C0"/>
        </patternFill>
      </fill>
    </dxf>
    <dxf>
      <border outline="0">
        <bottom style="thin">
          <color theme="1"/>
        </bottom>
      </border>
    </dxf>
    <dxf>
      <font>
        <b/>
        <i val="0"/>
        <strike val="0"/>
        <condense val="0"/>
        <extend val="0"/>
        <outline val="0"/>
        <shadow val="0"/>
        <u val="none"/>
        <vertAlign val="baseline"/>
        <sz val="11"/>
        <color theme="1"/>
        <name val="Rockwell"/>
        <family val="2"/>
        <scheme val="minor"/>
      </font>
      <fill>
        <patternFill patternType="solid">
          <fgColor indexed="64"/>
          <bgColor rgb="FF0070C0"/>
        </patternFill>
      </fill>
      <alignment horizontal="center" vertical="bottom" textRotation="0" wrapText="0" indent="0" justifyLastLine="0" shrinkToFit="0" readingOrder="0"/>
      <border diagonalUp="0" diagonalDown="0" outline="0">
        <left style="thin">
          <color theme="1"/>
        </left>
        <right style="thin">
          <color theme="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[2023_Assignment for Analytics in Finance_1.xlsx]Pivot in-outflow!PivotTable16</c:name>
    <c:fmtId val="20"/>
  </c:pivotSource>
  <c:chart>
    <c:title>
      <c:tx>
        <c:rich>
          <a:bodyPr rot="0" spcFirstLastPara="1" vertOverflow="ellipsis" vert="horz" wrap="square" anchor="ctr" anchorCtr="1"/>
          <a:lstStyle/>
          <a:p>
            <a:pPr algn="ctr" rtl="0">
              <a:defRPr lang="en-US" sz="1600" b="0" i="0" u="none" strike="noStrike" kern="1200" cap="none" spc="50" baseline="0">
                <a:ln w="0"/>
                <a:solidFill>
                  <a:schemeClr val="bg1"/>
                </a:solidFill>
                <a:latin typeface="+mn-lt"/>
                <a:ea typeface="+mn-ea"/>
                <a:cs typeface="+mn-cs"/>
              </a:defRPr>
            </a:pPr>
            <a:r>
              <a:rPr lang="en-US" sz="1600" b="0" i="0" u="none" strike="noStrike" kern="1200" cap="none" spc="50" baseline="0">
                <a:ln w="0">
                  <a:noFill/>
                </a:ln>
                <a:solidFill>
                  <a:schemeClr val="bg1"/>
                </a:solidFill>
                <a:latin typeface="+mn-lt"/>
                <a:ea typeface="+mn-ea"/>
                <a:cs typeface="+mn-cs"/>
              </a:rPr>
              <a:t>Inflows &amp; Outflows for projects per Quarter</a:t>
            </a:r>
          </a:p>
        </c:rich>
      </c:tx>
      <c:layout>
        <c:manualLayout>
          <c:xMode val="edge"/>
          <c:yMode val="edge"/>
          <c:x val="0.22617372314369447"/>
          <c:y val="2.2469753871484869E-2"/>
        </c:manualLayout>
      </c:layout>
      <c:overlay val="0"/>
      <c:spPr>
        <a:solidFill>
          <a:srgbClr val="0070C0">
            <a:alpha val="84000"/>
          </a:srgbClr>
        </a:solidFill>
        <a:ln w="69850">
          <a:noFill/>
        </a:ln>
        <a:effectLst/>
      </c:spPr>
      <c:txPr>
        <a:bodyPr rot="0" spcFirstLastPara="1" vertOverflow="ellipsis" vert="horz" wrap="square" anchor="ctr" anchorCtr="1"/>
        <a:lstStyle/>
        <a:p>
          <a:pPr algn="ctr" rtl="0">
            <a:defRPr lang="en-US" sz="1600" b="0" i="0" u="none" strike="noStrike" kern="1200" cap="none" spc="50" baseline="0">
              <a:ln w="0"/>
              <a:solidFill>
                <a:schemeClr val="bg1"/>
              </a:solidFill>
              <a:latin typeface="+mn-lt"/>
              <a:ea typeface="+mn-ea"/>
              <a:cs typeface="+mn-cs"/>
            </a:defRPr>
          </a:pPr>
          <a:endParaRPr lang="en-US"/>
        </a:p>
      </c:txPr>
    </c:title>
    <c:autoTitleDeleted val="0"/>
    <c:pivotFmts>
      <c:pivotFmt>
        <c:idx val="0"/>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circle"/>
          <c:size val="6"/>
          <c:spPr>
            <a:gradFill rotWithShape="1">
              <a:gsLst>
                <a:gs pos="0">
                  <a:schemeClr val="accent5">
                    <a:tint val="54000"/>
                    <a:tint val="98000"/>
                    <a:satMod val="110000"/>
                    <a:lumMod val="104000"/>
                  </a:schemeClr>
                </a:gs>
                <a:gs pos="69000">
                  <a:schemeClr val="accent5">
                    <a:tint val="54000"/>
                    <a:shade val="84000"/>
                    <a:satMod val="130000"/>
                    <a:lumMod val="92000"/>
                  </a:schemeClr>
                </a:gs>
                <a:gs pos="100000">
                  <a:schemeClr val="accent5">
                    <a:tint val="54000"/>
                    <a:shade val="76000"/>
                    <a:satMod val="130000"/>
                    <a:lumMod val="8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circle"/>
          <c:size val="6"/>
          <c:spPr>
            <a:gradFill rotWithShape="1">
              <a:gsLst>
                <a:gs pos="0">
                  <a:schemeClr val="accent5">
                    <a:tint val="77000"/>
                    <a:tint val="98000"/>
                    <a:satMod val="110000"/>
                    <a:lumMod val="104000"/>
                  </a:schemeClr>
                </a:gs>
                <a:gs pos="69000">
                  <a:schemeClr val="accent5">
                    <a:tint val="77000"/>
                    <a:shade val="84000"/>
                    <a:satMod val="130000"/>
                    <a:lumMod val="92000"/>
                  </a:schemeClr>
                </a:gs>
                <a:gs pos="100000">
                  <a:schemeClr val="accent5">
                    <a:tint val="77000"/>
                    <a:shade val="76000"/>
                    <a:satMod val="130000"/>
                    <a:lumMod val="8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circle"/>
          <c:size val="6"/>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circle"/>
          <c:size val="6"/>
          <c:spPr>
            <a:gradFill rotWithShape="1">
              <a:gsLst>
                <a:gs pos="0">
                  <a:schemeClr val="accent5">
                    <a:shade val="76000"/>
                    <a:tint val="98000"/>
                    <a:satMod val="110000"/>
                    <a:lumMod val="104000"/>
                  </a:schemeClr>
                </a:gs>
                <a:gs pos="69000">
                  <a:schemeClr val="accent5">
                    <a:shade val="76000"/>
                    <a:shade val="84000"/>
                    <a:satMod val="130000"/>
                    <a:lumMod val="92000"/>
                  </a:schemeClr>
                </a:gs>
                <a:gs pos="100000">
                  <a:schemeClr val="accent5">
                    <a:shade val="76000"/>
                    <a:shade val="76000"/>
                    <a:satMod val="130000"/>
                    <a:lumMod val="8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circle"/>
          <c:size val="6"/>
          <c:spPr>
            <a:gradFill rotWithShape="1">
              <a:gsLst>
                <a:gs pos="0">
                  <a:schemeClr val="accent5">
                    <a:shade val="53000"/>
                    <a:tint val="98000"/>
                    <a:satMod val="110000"/>
                    <a:lumMod val="104000"/>
                  </a:schemeClr>
                </a:gs>
                <a:gs pos="69000">
                  <a:schemeClr val="accent5">
                    <a:shade val="53000"/>
                    <a:shade val="84000"/>
                    <a:satMod val="130000"/>
                    <a:lumMod val="92000"/>
                  </a:schemeClr>
                </a:gs>
                <a:gs pos="100000">
                  <a:schemeClr val="accent5">
                    <a:shade val="53000"/>
                    <a:shade val="76000"/>
                    <a:satMod val="130000"/>
                    <a:lumMod val="8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hade val="76000"/>
                  <a:tint val="98000"/>
                  <a:satMod val="110000"/>
                  <a:lumMod val="104000"/>
                </a:schemeClr>
              </a:gs>
              <a:gs pos="69000">
                <a:schemeClr val="accent5">
                  <a:shade val="76000"/>
                  <a:shade val="84000"/>
                  <a:satMod val="130000"/>
                  <a:lumMod val="92000"/>
                </a:schemeClr>
              </a:gs>
              <a:gs pos="100000">
                <a:schemeClr val="accent5">
                  <a:shade val="76000"/>
                  <a:shade val="76000"/>
                  <a:satMod val="130000"/>
                  <a:lumMod val="88000"/>
                </a:schemeClr>
              </a:gs>
            </a:gsLst>
            <a:lin ang="5400000" scaled="0"/>
          </a:gradFill>
          <a:ln>
            <a:noFill/>
          </a:ln>
          <a:effectLst/>
          <a:sp3d/>
        </c:spPr>
      </c:pivotFmt>
      <c:pivotFmt>
        <c:idx val="6"/>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in-outflow'!$B$3</c:f>
              <c:strCache>
                <c:ptCount val="1"/>
                <c:pt idx="0">
                  <c:v>Sum of Project A</c:v>
                </c:pt>
              </c:strCache>
            </c:strRef>
          </c:tx>
          <c:spPr>
            <a:gradFill rotWithShape="1">
              <a:gsLst>
                <a:gs pos="0">
                  <a:schemeClr val="accent5">
                    <a:tint val="54000"/>
                    <a:tint val="98000"/>
                    <a:satMod val="110000"/>
                    <a:lumMod val="104000"/>
                  </a:schemeClr>
                </a:gs>
                <a:gs pos="69000">
                  <a:schemeClr val="accent5">
                    <a:tint val="54000"/>
                    <a:shade val="84000"/>
                    <a:satMod val="130000"/>
                    <a:lumMod val="92000"/>
                  </a:schemeClr>
                </a:gs>
                <a:gs pos="100000">
                  <a:schemeClr val="accent5">
                    <a:tint val="54000"/>
                    <a:shade val="76000"/>
                    <a:satMod val="130000"/>
                    <a:lumMod val="88000"/>
                  </a:schemeClr>
                </a:gs>
              </a:gsLst>
              <a:lin ang="5400000" scaled="0"/>
            </a:gradFill>
            <a:ln>
              <a:noFill/>
            </a:ln>
            <a:effectLst/>
            <a:sp3d/>
          </c:spPr>
          <c:invertIfNegative val="0"/>
          <c:cat>
            <c:strRef>
              <c:f>'Pivot in-outflow'!$A$4</c:f>
              <c:strCache>
                <c:ptCount val="1"/>
                <c:pt idx="0">
                  <c:v>Grand Total</c:v>
                </c:pt>
              </c:strCache>
            </c:strRef>
          </c:cat>
          <c:val>
            <c:numRef>
              <c:f>'Pivot in-outflow'!$B$4</c:f>
              <c:numCache>
                <c:formatCode>"RM"#,##0</c:formatCode>
                <c:ptCount val="1"/>
              </c:numCache>
            </c:numRef>
          </c:val>
          <c:extLst>
            <c:ext xmlns:c16="http://schemas.microsoft.com/office/drawing/2014/chart" uri="{C3380CC4-5D6E-409C-BE32-E72D297353CC}">
              <c16:uniqueId val="{00000000-4484-4C91-8F04-2DB5AF2BC7A8}"/>
            </c:ext>
          </c:extLst>
        </c:ser>
        <c:ser>
          <c:idx val="1"/>
          <c:order val="1"/>
          <c:tx>
            <c:strRef>
              <c:f>'Pivot in-outflow'!$C$3</c:f>
              <c:strCache>
                <c:ptCount val="1"/>
                <c:pt idx="0">
                  <c:v>Sum of Project B </c:v>
                </c:pt>
              </c:strCache>
            </c:strRef>
          </c:tx>
          <c:spPr>
            <a:gradFill rotWithShape="1">
              <a:gsLst>
                <a:gs pos="0">
                  <a:schemeClr val="accent5">
                    <a:tint val="77000"/>
                    <a:tint val="98000"/>
                    <a:satMod val="110000"/>
                    <a:lumMod val="104000"/>
                  </a:schemeClr>
                </a:gs>
                <a:gs pos="69000">
                  <a:schemeClr val="accent5">
                    <a:tint val="77000"/>
                    <a:shade val="84000"/>
                    <a:satMod val="130000"/>
                    <a:lumMod val="92000"/>
                  </a:schemeClr>
                </a:gs>
                <a:gs pos="100000">
                  <a:schemeClr val="accent5">
                    <a:tint val="77000"/>
                    <a:shade val="76000"/>
                    <a:satMod val="130000"/>
                    <a:lumMod val="88000"/>
                  </a:schemeClr>
                </a:gs>
              </a:gsLst>
              <a:lin ang="5400000" scaled="0"/>
            </a:gradFill>
            <a:ln>
              <a:noFill/>
            </a:ln>
            <a:effectLst/>
            <a:sp3d/>
          </c:spPr>
          <c:invertIfNegative val="0"/>
          <c:cat>
            <c:strRef>
              <c:f>'Pivot in-outflow'!$A$4</c:f>
              <c:strCache>
                <c:ptCount val="1"/>
                <c:pt idx="0">
                  <c:v>Grand Total</c:v>
                </c:pt>
              </c:strCache>
            </c:strRef>
          </c:cat>
          <c:val>
            <c:numRef>
              <c:f>'Pivot in-outflow'!$C$4</c:f>
              <c:numCache>
                <c:formatCode>"RM"#,##0</c:formatCode>
                <c:ptCount val="1"/>
              </c:numCache>
            </c:numRef>
          </c:val>
          <c:extLst>
            <c:ext xmlns:c16="http://schemas.microsoft.com/office/drawing/2014/chart" uri="{C3380CC4-5D6E-409C-BE32-E72D297353CC}">
              <c16:uniqueId val="{00000001-4484-4C91-8F04-2DB5AF2BC7A8}"/>
            </c:ext>
          </c:extLst>
        </c:ser>
        <c:ser>
          <c:idx val="2"/>
          <c:order val="2"/>
          <c:tx>
            <c:strRef>
              <c:f>'Pivot in-outflow'!$D$3</c:f>
              <c:strCache>
                <c:ptCount val="1"/>
                <c:pt idx="0">
                  <c:v>Sum of Project C</c:v>
                </c:pt>
              </c:strCache>
            </c:strRef>
          </c:tx>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invertIfNegative val="0"/>
          <c:cat>
            <c:strRef>
              <c:f>'Pivot in-outflow'!$A$4</c:f>
              <c:strCache>
                <c:ptCount val="1"/>
                <c:pt idx="0">
                  <c:v>Grand Total</c:v>
                </c:pt>
              </c:strCache>
            </c:strRef>
          </c:cat>
          <c:val>
            <c:numRef>
              <c:f>'Pivot in-outflow'!$D$4</c:f>
              <c:numCache>
                <c:formatCode>"RM"#,##0</c:formatCode>
                <c:ptCount val="1"/>
              </c:numCache>
            </c:numRef>
          </c:val>
          <c:extLst>
            <c:ext xmlns:c16="http://schemas.microsoft.com/office/drawing/2014/chart" uri="{C3380CC4-5D6E-409C-BE32-E72D297353CC}">
              <c16:uniqueId val="{00000002-4484-4C91-8F04-2DB5AF2BC7A8}"/>
            </c:ext>
          </c:extLst>
        </c:ser>
        <c:ser>
          <c:idx val="3"/>
          <c:order val="3"/>
          <c:tx>
            <c:strRef>
              <c:f>'Pivot in-outflow'!$E$3</c:f>
              <c:strCache>
                <c:ptCount val="1"/>
                <c:pt idx="0">
                  <c:v>Sum of Project F1 -RM</c:v>
                </c:pt>
              </c:strCache>
            </c:strRef>
          </c:tx>
          <c:spPr>
            <a:gradFill rotWithShape="1">
              <a:gsLst>
                <a:gs pos="0">
                  <a:schemeClr val="accent5">
                    <a:shade val="76000"/>
                    <a:tint val="98000"/>
                    <a:satMod val="110000"/>
                    <a:lumMod val="104000"/>
                  </a:schemeClr>
                </a:gs>
                <a:gs pos="69000">
                  <a:schemeClr val="accent5">
                    <a:shade val="76000"/>
                    <a:shade val="84000"/>
                    <a:satMod val="130000"/>
                    <a:lumMod val="92000"/>
                  </a:schemeClr>
                </a:gs>
                <a:gs pos="100000">
                  <a:schemeClr val="accent5">
                    <a:shade val="76000"/>
                    <a:shade val="76000"/>
                    <a:satMod val="130000"/>
                    <a:lumMod val="88000"/>
                  </a:schemeClr>
                </a:gs>
              </a:gsLst>
              <a:lin ang="5400000" scaled="0"/>
            </a:gradFill>
            <a:ln>
              <a:noFill/>
            </a:ln>
            <a:effectLst/>
            <a:sp3d/>
          </c:spPr>
          <c:invertIfNegative val="0"/>
          <c:cat>
            <c:strRef>
              <c:f>'Pivot in-outflow'!$A$4</c:f>
              <c:strCache>
                <c:ptCount val="1"/>
                <c:pt idx="0">
                  <c:v>Grand Total</c:v>
                </c:pt>
              </c:strCache>
            </c:strRef>
          </c:cat>
          <c:val>
            <c:numRef>
              <c:f>'Pivot in-outflow'!$E$4</c:f>
              <c:numCache>
                <c:formatCode>"RM"#,##0</c:formatCode>
                <c:ptCount val="1"/>
              </c:numCache>
            </c:numRef>
          </c:val>
          <c:extLst>
            <c:ext xmlns:c16="http://schemas.microsoft.com/office/drawing/2014/chart" uri="{C3380CC4-5D6E-409C-BE32-E72D297353CC}">
              <c16:uniqueId val="{00000003-4484-4C91-8F04-2DB5AF2BC7A8}"/>
            </c:ext>
          </c:extLst>
        </c:ser>
        <c:ser>
          <c:idx val="4"/>
          <c:order val="4"/>
          <c:tx>
            <c:strRef>
              <c:f>'Pivot in-outflow'!$F$3</c:f>
              <c:strCache>
                <c:ptCount val="1"/>
                <c:pt idx="0">
                  <c:v>Sum of Project F2 -RM</c:v>
                </c:pt>
              </c:strCache>
            </c:strRef>
          </c:tx>
          <c:spPr>
            <a:gradFill rotWithShape="1">
              <a:gsLst>
                <a:gs pos="0">
                  <a:schemeClr val="accent5">
                    <a:shade val="53000"/>
                    <a:tint val="98000"/>
                    <a:satMod val="110000"/>
                    <a:lumMod val="104000"/>
                  </a:schemeClr>
                </a:gs>
                <a:gs pos="69000">
                  <a:schemeClr val="accent5">
                    <a:shade val="53000"/>
                    <a:shade val="84000"/>
                    <a:satMod val="130000"/>
                    <a:lumMod val="92000"/>
                  </a:schemeClr>
                </a:gs>
                <a:gs pos="100000">
                  <a:schemeClr val="accent5">
                    <a:shade val="53000"/>
                    <a:shade val="76000"/>
                    <a:satMod val="130000"/>
                    <a:lumMod val="88000"/>
                  </a:schemeClr>
                </a:gs>
              </a:gsLst>
              <a:lin ang="5400000" scaled="0"/>
            </a:gradFill>
            <a:ln>
              <a:noFill/>
            </a:ln>
            <a:effectLst/>
            <a:sp3d/>
          </c:spPr>
          <c:invertIfNegative val="0"/>
          <c:cat>
            <c:strRef>
              <c:f>'Pivot in-outflow'!$A$4</c:f>
              <c:strCache>
                <c:ptCount val="1"/>
                <c:pt idx="0">
                  <c:v>Grand Total</c:v>
                </c:pt>
              </c:strCache>
            </c:strRef>
          </c:cat>
          <c:val>
            <c:numRef>
              <c:f>'Pivot in-outflow'!$F$4</c:f>
              <c:numCache>
                <c:formatCode>"RM"#,##0</c:formatCode>
                <c:ptCount val="1"/>
              </c:numCache>
            </c:numRef>
          </c:val>
          <c:extLst>
            <c:ext xmlns:c16="http://schemas.microsoft.com/office/drawing/2014/chart" uri="{C3380CC4-5D6E-409C-BE32-E72D297353CC}">
              <c16:uniqueId val="{00000004-4484-4C91-8F04-2DB5AF2BC7A8}"/>
            </c:ext>
          </c:extLst>
        </c:ser>
        <c:dLbls>
          <c:showLegendKey val="0"/>
          <c:showVal val="0"/>
          <c:showCatName val="0"/>
          <c:showSerName val="0"/>
          <c:showPercent val="0"/>
          <c:showBubbleSize val="0"/>
        </c:dLbls>
        <c:gapWidth val="150"/>
        <c:shape val="box"/>
        <c:axId val="916685960"/>
        <c:axId val="916686680"/>
        <c:axId val="0"/>
      </c:bar3DChart>
      <c:catAx>
        <c:axId val="916685960"/>
        <c:scaling>
          <c:orientation val="minMax"/>
        </c:scaling>
        <c:delete val="0"/>
        <c:axPos val="b"/>
        <c:title>
          <c:tx>
            <c:rich>
              <a:bodyPr rot="0" spcFirstLastPara="1" vertOverflow="ellipsis" vert="horz" wrap="square" anchor="ctr" anchorCtr="1"/>
              <a:lstStyle/>
              <a:p>
                <a:pPr>
                  <a:defRPr sz="1100" b="1" i="0" u="none" strike="noStrike" kern="1200" baseline="0">
                    <a:ln>
                      <a:noFill/>
                    </a:ln>
                    <a:solidFill>
                      <a:sysClr val="windowText" lastClr="000000"/>
                    </a:solidFill>
                    <a:latin typeface="+mn-lt"/>
                    <a:ea typeface="+mn-ea"/>
                    <a:cs typeface="+mn-cs"/>
                  </a:defRPr>
                </a:pPr>
                <a:r>
                  <a:rPr lang="en-US" sz="1100"/>
                  <a:t>Year-Quarter</a:t>
                </a:r>
              </a:p>
            </c:rich>
          </c:tx>
          <c:overlay val="0"/>
          <c:spPr>
            <a:noFill/>
            <a:ln>
              <a:noFill/>
            </a:ln>
            <a:effectLst/>
          </c:spPr>
          <c:txPr>
            <a:bodyPr rot="0" spcFirstLastPara="1" vertOverflow="ellipsis" vert="horz" wrap="square" anchor="ctr" anchorCtr="1"/>
            <a:lstStyle/>
            <a:p>
              <a:pPr>
                <a:defRPr sz="1100" b="1" i="0" u="none" strike="noStrike" kern="1200" baseline="0">
                  <a:ln>
                    <a:noFill/>
                  </a:ln>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alpha val="8000"/>
              </a:schemeClr>
            </a:solidFill>
            <a:round/>
          </a:ln>
          <a:effectLst/>
        </c:spPr>
        <c:txPr>
          <a:bodyPr rot="-60000000" spcFirstLastPara="1" vertOverflow="ellipsis" vert="horz" wrap="square" anchor="ctr" anchorCtr="1"/>
          <a:lstStyle/>
          <a:p>
            <a:pPr>
              <a:defRPr sz="1000" b="1" i="0" u="none" strike="noStrike" kern="1200" baseline="0">
                <a:ln>
                  <a:noFill/>
                </a:ln>
                <a:solidFill>
                  <a:sysClr val="windowText" lastClr="000000"/>
                </a:solidFill>
                <a:latin typeface="+mn-lt"/>
                <a:ea typeface="+mn-ea"/>
                <a:cs typeface="+mn-cs"/>
              </a:defRPr>
            </a:pPr>
            <a:endParaRPr lang="en-US"/>
          </a:p>
        </c:txPr>
        <c:crossAx val="916686680"/>
        <c:crosses val="autoZero"/>
        <c:auto val="1"/>
        <c:lblAlgn val="ctr"/>
        <c:lblOffset val="100"/>
        <c:noMultiLvlLbl val="0"/>
      </c:catAx>
      <c:valAx>
        <c:axId val="916686680"/>
        <c:scaling>
          <c:orientation val="minMax"/>
        </c:scaling>
        <c:delete val="0"/>
        <c:axPos val="l"/>
        <c:majorGridlines>
          <c:spPr>
            <a:ln w="9525" cap="flat" cmpd="sng" algn="ctr">
              <a:no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ln>
                    <a:noFill/>
                  </a:ln>
                  <a:solidFill>
                    <a:sysClr val="windowText" lastClr="000000"/>
                  </a:solidFill>
                  <a:latin typeface="+mn-lt"/>
                  <a:ea typeface="+mn-ea"/>
                  <a:cs typeface="+mn-cs"/>
                </a:defRPr>
              </a:pPr>
              <a:endParaRPr lang="en-US"/>
            </a:p>
          </c:txPr>
        </c:title>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ln>
                  <a:noFill/>
                </a:ln>
                <a:solidFill>
                  <a:sysClr val="windowText" lastClr="000000"/>
                </a:solidFill>
                <a:latin typeface="+mn-lt"/>
                <a:ea typeface="+mn-ea"/>
                <a:cs typeface="+mn-cs"/>
              </a:defRPr>
            </a:pPr>
            <a:endParaRPr lang="en-US"/>
          </a:p>
        </c:txPr>
        <c:crossAx val="916685960"/>
        <c:crosses val="autoZero"/>
        <c:crossBetween val="between"/>
      </c:valAx>
      <c:spPr>
        <a:noFill/>
        <a:ln>
          <a:noFill/>
        </a:ln>
        <a:effectLst/>
      </c:spPr>
    </c:plotArea>
    <c:legend>
      <c:legendPos val="b"/>
      <c:layout>
        <c:manualLayout>
          <c:xMode val="edge"/>
          <c:yMode val="edge"/>
          <c:x val="5.5405898911416356E-3"/>
          <c:y val="0.89491901601747881"/>
          <c:w val="0.99445941010885841"/>
          <c:h val="9.0098514651360692E-2"/>
        </c:manualLayout>
      </c:layout>
      <c:overlay val="0"/>
      <c:spPr>
        <a:noFill/>
        <a:ln>
          <a:noFill/>
        </a:ln>
        <a:effectLst/>
      </c:spPr>
      <c:txPr>
        <a:bodyPr rot="0" spcFirstLastPara="1" vertOverflow="ellipsis" vert="horz" wrap="square" anchor="ctr" anchorCtr="1"/>
        <a:lstStyle/>
        <a:p>
          <a:pPr>
            <a:defRPr sz="1100" b="1" i="0" u="none" strike="noStrike" kern="1200" baseline="0">
              <a:ln>
                <a:noFill/>
              </a:ln>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41275" cap="flat" cmpd="sng" algn="ctr">
      <a:noFill/>
      <a:round/>
    </a:ln>
    <a:effectLst/>
  </c:spPr>
  <c:txPr>
    <a:bodyPr/>
    <a:lstStyle/>
    <a:p>
      <a:pPr>
        <a:defRPr b="1">
          <a:ln>
            <a:noFill/>
          </a:ln>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[2023_Assignment for Analytics in Finance_1.xlsx]Sheet10!PivotTable22</c:name>
    <c:fmtId val="14"/>
  </c:pivotSource>
  <c:chart>
    <c:title>
      <c:tx>
        <c:rich>
          <a:bodyPr rot="0" spcFirstLastPara="1" vertOverflow="ellipsis" vert="horz" wrap="square" anchor="ctr" anchorCtr="1"/>
          <a:lstStyle/>
          <a:p>
            <a:pPr algn="l">
              <a:defRPr sz="1600" b="0" i="0" u="none" strike="noStrike" kern="1200" cap="none" spc="50" baseline="0">
                <a:ln w="0">
                  <a:noFill/>
                </a:ln>
                <a:solidFill>
                  <a:schemeClr val="bg1"/>
                </a:solidFill>
                <a:latin typeface="+mn-lt"/>
                <a:ea typeface="+mn-ea"/>
                <a:cs typeface="+mn-cs"/>
              </a:defRPr>
            </a:pPr>
            <a:r>
              <a:rPr lang="en-US">
                <a:ln w="0">
                  <a:noFill/>
                </a:ln>
                <a:solidFill>
                  <a:schemeClr val="bg1"/>
                </a:solidFill>
              </a:rPr>
              <a:t>Metrics Per Project</a:t>
            </a:r>
          </a:p>
        </c:rich>
      </c:tx>
      <c:layout>
        <c:manualLayout>
          <c:xMode val="edge"/>
          <c:yMode val="edge"/>
          <c:x val="0.43105981311214431"/>
          <c:y val="4.6788003555888269E-3"/>
        </c:manualLayout>
      </c:layout>
      <c:overlay val="0"/>
      <c:spPr>
        <a:solidFill>
          <a:srgbClr val="0070C0">
            <a:alpha val="84000"/>
          </a:srgbClr>
        </a:solidFill>
        <a:ln>
          <a:solidFill>
            <a:schemeClr val="bg1"/>
          </a:solidFill>
        </a:ln>
        <a:effectLst/>
        <a:scene3d>
          <a:camera prst="orthographicFront"/>
          <a:lightRig rig="threePt" dir="t"/>
        </a:scene3d>
        <a:sp3d prstMaterial="softEdge"/>
      </c:spPr>
      <c:txPr>
        <a:bodyPr rot="0" spcFirstLastPara="1" vertOverflow="ellipsis" vert="horz" wrap="square" anchor="ctr" anchorCtr="1"/>
        <a:lstStyle/>
        <a:p>
          <a:pPr algn="l">
            <a:defRPr sz="1600" b="0" i="0" u="none" strike="noStrike" kern="1200" cap="none" spc="50" baseline="0">
              <a:ln w="0">
                <a:noFill/>
              </a:ln>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644615525419592"/>
          <c:y val="1.7893014223250805E-2"/>
          <c:w val="0.37542060911204866"/>
          <c:h val="0.75382409177820264"/>
        </c:manualLayout>
      </c:layout>
      <c:bar3DChart>
        <c:barDir val="col"/>
        <c:grouping val="standard"/>
        <c:varyColors val="0"/>
        <c:ser>
          <c:idx val="0"/>
          <c:order val="0"/>
          <c:tx>
            <c:strRef>
              <c:f>Sheet10!$B$3</c:f>
              <c:strCache>
                <c:ptCount val="1"/>
                <c:pt idx="0">
                  <c:v>Sum of IRR</c:v>
                </c:pt>
              </c:strCache>
            </c:strRef>
          </c:tx>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invertIfNegative val="0"/>
          <c:cat>
            <c:multiLvlStrRef>
              <c:f>Sheet10!$A$4:$A$6</c:f>
              <c:multiLvlStrCache>
                <c:ptCount val="1"/>
                <c:lvl>
                  <c:pt idx="0">
                    <c:v>Project B </c:v>
                  </c:pt>
                </c:lvl>
                <c:lvl>
                  <c:pt idx="0">
                    <c:v>1.17 year </c:v>
                  </c:pt>
                </c:lvl>
              </c:multiLvlStrCache>
            </c:multiLvlStrRef>
          </c:cat>
          <c:val>
            <c:numRef>
              <c:f>Sheet10!$B$4:$B$6</c:f>
              <c:numCache>
                <c:formatCode>General</c:formatCode>
                <c:ptCount val="1"/>
                <c:pt idx="0">
                  <c:v>0.2</c:v>
                </c:pt>
              </c:numCache>
            </c:numRef>
          </c:val>
          <c:extLst>
            <c:ext xmlns:c16="http://schemas.microsoft.com/office/drawing/2014/chart" uri="{C3380CC4-5D6E-409C-BE32-E72D297353CC}">
              <c16:uniqueId val="{00000000-A7DA-4679-B323-AB62B898AE3E}"/>
            </c:ext>
          </c:extLst>
        </c:ser>
        <c:ser>
          <c:idx val="1"/>
          <c:order val="1"/>
          <c:tx>
            <c:strRef>
              <c:f>Sheet10!$C$3</c:f>
              <c:strCache>
                <c:ptCount val="1"/>
                <c:pt idx="0">
                  <c:v>Sum of NPV</c:v>
                </c:pt>
              </c:strCache>
            </c:strRef>
          </c:tx>
          <c:spPr>
            <a:solidFill>
              <a:schemeClr val="accent2"/>
            </a:solidFill>
            <a:ln>
              <a:solidFill>
                <a:schemeClr val="accent2">
                  <a:lumMod val="75000"/>
                </a:schemeClr>
              </a:solidFill>
            </a:ln>
            <a:effectLst/>
            <a:scene3d>
              <a:camera prst="orthographicFront"/>
              <a:lightRig rig="threePt" dir="t"/>
            </a:scene3d>
            <a:sp3d prstMaterial="translucentPowder">
              <a:contourClr>
                <a:schemeClr val="accent2">
                  <a:lumMod val="75000"/>
                </a:schemeClr>
              </a:contourClr>
            </a:sp3d>
          </c:spPr>
          <c:invertIfNegative val="0"/>
          <c:cat>
            <c:multiLvlStrRef>
              <c:f>Sheet10!$A$4:$A$6</c:f>
              <c:multiLvlStrCache>
                <c:ptCount val="1"/>
                <c:lvl>
                  <c:pt idx="0">
                    <c:v>Project B </c:v>
                  </c:pt>
                </c:lvl>
                <c:lvl>
                  <c:pt idx="0">
                    <c:v>1.17 year </c:v>
                  </c:pt>
                </c:lvl>
              </c:multiLvlStrCache>
            </c:multiLvlStrRef>
          </c:cat>
          <c:val>
            <c:numRef>
              <c:f>Sheet10!$C$4:$C$6</c:f>
              <c:numCache>
                <c:formatCode>General</c:formatCode>
                <c:ptCount val="1"/>
                <c:pt idx="0">
                  <c:v>59949</c:v>
                </c:pt>
              </c:numCache>
            </c:numRef>
          </c:val>
          <c:extLst>
            <c:ext xmlns:c16="http://schemas.microsoft.com/office/drawing/2014/chart" uri="{C3380CC4-5D6E-409C-BE32-E72D297353CC}">
              <c16:uniqueId val="{00000001-A7DA-4679-B323-AB62B898AE3E}"/>
            </c:ext>
          </c:extLst>
        </c:ser>
        <c:ser>
          <c:idx val="2"/>
          <c:order val="2"/>
          <c:tx>
            <c:strRef>
              <c:f>Sheet10!$D$3</c:f>
              <c:strCache>
                <c:ptCount val="1"/>
                <c:pt idx="0">
                  <c:v>Sum of Profitability Index</c:v>
                </c:pt>
              </c:strCache>
            </c:strRef>
          </c:tx>
          <c:spPr>
            <a:solidFill>
              <a:schemeClr val="accent3"/>
            </a:solidFill>
            <a:ln>
              <a:solidFill>
                <a:schemeClr val="accent3">
                  <a:lumMod val="75000"/>
                </a:schemeClr>
              </a:solidFill>
            </a:ln>
            <a:effectLst/>
            <a:scene3d>
              <a:camera prst="orthographicFront"/>
              <a:lightRig rig="threePt" dir="t"/>
            </a:scene3d>
            <a:sp3d prstMaterial="translucentPowder">
              <a:contourClr>
                <a:schemeClr val="accent3">
                  <a:lumMod val="75000"/>
                </a:schemeClr>
              </a:contourClr>
            </a:sp3d>
          </c:spPr>
          <c:invertIfNegative val="0"/>
          <c:cat>
            <c:multiLvlStrRef>
              <c:f>Sheet10!$A$4:$A$6</c:f>
              <c:multiLvlStrCache>
                <c:ptCount val="1"/>
                <c:lvl>
                  <c:pt idx="0">
                    <c:v>Project B </c:v>
                  </c:pt>
                </c:lvl>
                <c:lvl>
                  <c:pt idx="0">
                    <c:v>1.17 year </c:v>
                  </c:pt>
                </c:lvl>
              </c:multiLvlStrCache>
            </c:multiLvlStrRef>
          </c:cat>
          <c:val>
            <c:numRef>
              <c:f>Sheet10!$D$4:$D$6</c:f>
              <c:numCache>
                <c:formatCode>General</c:formatCode>
                <c:ptCount val="1"/>
                <c:pt idx="0">
                  <c:v>1.6</c:v>
                </c:pt>
              </c:numCache>
            </c:numRef>
          </c:val>
          <c:extLst>
            <c:ext xmlns:c16="http://schemas.microsoft.com/office/drawing/2014/chart" uri="{C3380CC4-5D6E-409C-BE32-E72D297353CC}">
              <c16:uniqueId val="{00000002-A7DA-4679-B323-AB62B898AE3E}"/>
            </c:ext>
          </c:extLst>
        </c:ser>
        <c:dLbls>
          <c:showLegendKey val="0"/>
          <c:showVal val="0"/>
          <c:showCatName val="0"/>
          <c:showSerName val="0"/>
          <c:showPercent val="0"/>
          <c:showBubbleSize val="0"/>
        </c:dLbls>
        <c:gapWidth val="150"/>
        <c:shape val="box"/>
        <c:axId val="1323436568"/>
        <c:axId val="1323437288"/>
        <c:axId val="967254976"/>
      </c:bar3DChart>
      <c:catAx>
        <c:axId val="1323436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ln w="0">
                  <a:noFill/>
                </a:ln>
                <a:solidFill>
                  <a:schemeClr val="tx1"/>
                </a:solidFill>
                <a:latin typeface="+mn-lt"/>
                <a:ea typeface="+mn-ea"/>
                <a:cs typeface="+mn-cs"/>
              </a:defRPr>
            </a:pPr>
            <a:endParaRPr lang="en-US"/>
          </a:p>
        </c:txPr>
        <c:crossAx val="1323437288"/>
        <c:crosses val="autoZero"/>
        <c:auto val="1"/>
        <c:lblAlgn val="ctr"/>
        <c:lblOffset val="100"/>
        <c:noMultiLvlLbl val="0"/>
      </c:catAx>
      <c:valAx>
        <c:axId val="13234372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ln w="0">
                  <a:noFill/>
                </a:ln>
                <a:solidFill>
                  <a:schemeClr val="tx1"/>
                </a:solidFill>
                <a:latin typeface="+mn-lt"/>
                <a:ea typeface="+mn-ea"/>
                <a:cs typeface="+mn-cs"/>
              </a:defRPr>
            </a:pPr>
            <a:endParaRPr lang="en-US"/>
          </a:p>
        </c:txPr>
        <c:crossAx val="1323436568"/>
        <c:crosses val="autoZero"/>
        <c:crossBetween val="between"/>
      </c:valAx>
      <c:serAx>
        <c:axId val="96725497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ln w="0">
                  <a:noFill/>
                </a:ln>
                <a:solidFill>
                  <a:schemeClr val="tx1"/>
                </a:solidFill>
                <a:latin typeface="+mn-lt"/>
                <a:ea typeface="+mn-ea"/>
                <a:cs typeface="+mn-cs"/>
              </a:defRPr>
            </a:pPr>
            <a:endParaRPr lang="en-US"/>
          </a:p>
        </c:txPr>
        <c:crossAx val="1323437288"/>
        <c:crosses val="autoZero"/>
      </c:ser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ln w="0">
                  <a:noFill/>
                </a:ln>
                <a:solidFill>
                  <a:schemeClr val="tx1"/>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ln w="0">
                  <a:noFill/>
                </a:ln>
                <a:solidFill>
                  <a:schemeClr val="tx1"/>
                </a:solidFill>
                <a:latin typeface="+mn-lt"/>
                <a:ea typeface="+mn-ea"/>
                <a:cs typeface="+mn-cs"/>
              </a:defRPr>
            </a:pPr>
            <a:endParaRPr lang="en-US"/>
          </a:p>
        </c:txPr>
      </c:legendEntry>
      <c:legendEntry>
        <c:idx val="2"/>
        <c:txPr>
          <a:bodyPr rot="0" spcFirstLastPara="1" vertOverflow="ellipsis" vert="horz" wrap="square" anchor="ctr" anchorCtr="1"/>
          <a:lstStyle/>
          <a:p>
            <a:pPr>
              <a:defRPr sz="1200" b="0" i="0" u="none" strike="noStrike" kern="1200" baseline="0">
                <a:ln w="0">
                  <a:noFill/>
                </a:ln>
                <a:solidFill>
                  <a:schemeClr val="tx1"/>
                </a:solidFill>
                <a:latin typeface="+mn-lt"/>
                <a:ea typeface="+mn-ea"/>
                <a:cs typeface="+mn-cs"/>
              </a:defRPr>
            </a:pPr>
            <a:endParaRPr lang="en-US"/>
          </a:p>
        </c:txPr>
      </c:legendEntry>
      <c:layout>
        <c:manualLayout>
          <c:xMode val="edge"/>
          <c:yMode val="edge"/>
          <c:x val="0.16382371817325142"/>
          <c:y val="0.93627280010596181"/>
          <c:w val="0.64365270059862645"/>
          <c:h val="4.8722309014031913E-2"/>
        </c:manualLayout>
      </c:layout>
      <c:overlay val="0"/>
      <c:spPr>
        <a:noFill/>
        <a:ln>
          <a:noFill/>
        </a:ln>
        <a:effectLst/>
      </c:spPr>
      <c:txPr>
        <a:bodyPr rot="0" spcFirstLastPara="1" vertOverflow="ellipsis" vert="horz" wrap="square" anchor="ctr" anchorCtr="1"/>
        <a:lstStyle/>
        <a:p>
          <a:pPr>
            <a:defRPr sz="900" b="0" i="0" u="none" strike="noStrike" kern="1200" baseline="0">
              <a:ln w="0">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w="0">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[2023_Assignment for Analytics in Finance_1.xlsx]Sheet10!PivotTable22</c:name>
    <c:fmtId val="7"/>
  </c:pivotSource>
  <c:chart>
    <c:autoTitleDeleted val="0"/>
    <c:pivotFmts>
      <c:pivotFmt>
        <c:idx val="0"/>
        <c:spPr>
          <a:gradFill rotWithShape="1">
            <a:gsLst>
              <a:gs pos="0">
                <a:schemeClr val="accent1">
                  <a:tint val="98000"/>
                  <a:satMod val="110000"/>
                  <a:lumMod val="104000"/>
                </a:schemeClr>
              </a:gs>
              <a:gs pos="69000">
                <a:schemeClr val="accent1">
                  <a:shade val="84000"/>
                  <a:satMod val="130000"/>
                  <a:lumMod val="92000"/>
                </a:schemeClr>
              </a:gs>
              <a:gs pos="100000">
                <a:schemeClr val="accent1">
                  <a:shade val="76000"/>
                  <a:satMod val="130000"/>
                  <a:lumMod val="88000"/>
                </a:schemeClr>
              </a:gs>
            </a:gsLst>
            <a:lin ang="5400000" scaled="0"/>
          </a:gradFill>
          <a:ln>
            <a:noFill/>
          </a:ln>
          <a:effectLst>
            <a:outerShdw blurRad="38100" dist="25400" dir="5400000" rotWithShape="0">
              <a:srgbClr val="000000">
                <a:alpha val="75000"/>
              </a:srgbClr>
            </a:outerShdw>
          </a:effectLst>
          <a:scene3d>
            <a:camera prst="orthographicFront">
              <a:rot lat="0" lon="0" rev="0"/>
            </a:camera>
            <a:lightRig rig="threePt" dir="tl"/>
          </a:scene3d>
          <a:sp3d>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4000"/>
                  <a:satMod val="130000"/>
                  <a:lumMod val="92000"/>
                </a:schemeClr>
              </a:gs>
              <a:gs pos="100000">
                <a:schemeClr val="accent1">
                  <a:shade val="76000"/>
                  <a:satMod val="130000"/>
                  <a:lumMod val="88000"/>
                </a:schemeClr>
              </a:gs>
            </a:gsLst>
            <a:lin ang="5400000" scaled="0"/>
          </a:gradFill>
          <a:ln>
            <a:noFill/>
          </a:ln>
          <a:effectLst>
            <a:outerShdw blurRad="38100" dist="25400" dir="5400000" rotWithShape="0">
              <a:srgbClr val="000000">
                <a:alpha val="75000"/>
              </a:srgbClr>
            </a:outerShdw>
          </a:effectLst>
          <a:scene3d>
            <a:camera prst="orthographicFront">
              <a:rot lat="0" lon="0" rev="0"/>
            </a:camera>
            <a:lightRig rig="threePt" dir="tl"/>
          </a:scene3d>
          <a:sp3d>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satMod val="110000"/>
                  <a:lumMod val="104000"/>
                </a:schemeClr>
              </a:gs>
              <a:gs pos="69000">
                <a:schemeClr val="accent1">
                  <a:shade val="84000"/>
                  <a:satMod val="130000"/>
                  <a:lumMod val="92000"/>
                </a:schemeClr>
              </a:gs>
              <a:gs pos="100000">
                <a:schemeClr val="accent1">
                  <a:shade val="76000"/>
                  <a:satMod val="130000"/>
                  <a:lumMod val="88000"/>
                </a:schemeClr>
              </a:gs>
            </a:gsLst>
            <a:lin ang="5400000" scaled="0"/>
          </a:gradFill>
          <a:ln>
            <a:noFill/>
          </a:ln>
          <a:effectLst>
            <a:outerShdw blurRad="38100" dist="25400" dir="5400000" rotWithShape="0">
              <a:srgbClr val="000000">
                <a:alpha val="75000"/>
              </a:srgbClr>
            </a:outerShdw>
          </a:effectLst>
          <a:scene3d>
            <a:camera prst="orthographicFront">
              <a:rot lat="0" lon="0" rev="0"/>
            </a:camera>
            <a:lightRig rig="threePt" dir="tl"/>
          </a:scene3d>
          <a:sp3d>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Sheet10!$B$3</c:f>
              <c:strCache>
                <c:ptCount val="1"/>
                <c:pt idx="0">
                  <c:v>Sum of IRR</c:v>
                </c:pt>
              </c:strCache>
            </c:strRef>
          </c:tx>
          <c:spPr>
            <a:gradFill rotWithShape="1">
              <a:gsLst>
                <a:gs pos="0">
                  <a:schemeClr val="accent1">
                    <a:tint val="98000"/>
                    <a:satMod val="110000"/>
                    <a:lumMod val="104000"/>
                  </a:schemeClr>
                </a:gs>
                <a:gs pos="69000">
                  <a:schemeClr val="accent1">
                    <a:shade val="84000"/>
                    <a:satMod val="130000"/>
                    <a:lumMod val="92000"/>
                  </a:schemeClr>
                </a:gs>
                <a:gs pos="100000">
                  <a:schemeClr val="accent1">
                    <a:shade val="76000"/>
                    <a:satMod val="130000"/>
                    <a:lumMod val="88000"/>
                  </a:schemeClr>
                </a:gs>
              </a:gsLst>
              <a:lin ang="5400000" scaled="0"/>
            </a:gradFill>
            <a:ln>
              <a:noFill/>
            </a:ln>
            <a:effectLst>
              <a:outerShdw blurRad="38100" dist="25400" dir="5400000" rotWithShape="0">
                <a:srgbClr val="000000">
                  <a:alpha val="75000"/>
                </a:srgbClr>
              </a:outerShdw>
            </a:effectLst>
            <a:scene3d>
              <a:camera prst="orthographicFront">
                <a:rot lat="0" lon="0" rev="0"/>
              </a:camera>
              <a:lightRig rig="threePt" dir="tl"/>
            </a:scene3d>
            <a:sp3d>
              <a:bevelT w="0" h="0"/>
            </a:sp3d>
          </c:spPr>
          <c:invertIfNegative val="0"/>
          <c:cat>
            <c:multiLvlStrRef>
              <c:f>Sheet10!$A$4:$A$6</c:f>
              <c:multiLvlStrCache>
                <c:ptCount val="1"/>
                <c:lvl>
                  <c:pt idx="0">
                    <c:v>Project B </c:v>
                  </c:pt>
                </c:lvl>
                <c:lvl>
                  <c:pt idx="0">
                    <c:v>1.17 year </c:v>
                  </c:pt>
                </c:lvl>
              </c:multiLvlStrCache>
            </c:multiLvlStrRef>
          </c:cat>
          <c:val>
            <c:numRef>
              <c:f>Sheet10!$B$4:$B$6</c:f>
              <c:numCache>
                <c:formatCode>General</c:formatCode>
                <c:ptCount val="1"/>
                <c:pt idx="0">
                  <c:v>0.2</c:v>
                </c:pt>
              </c:numCache>
            </c:numRef>
          </c:val>
          <c:extLst>
            <c:ext xmlns:c16="http://schemas.microsoft.com/office/drawing/2014/chart" uri="{C3380CC4-5D6E-409C-BE32-E72D297353CC}">
              <c16:uniqueId val="{00000000-71A9-48AB-A9A0-D60B1391477A}"/>
            </c:ext>
          </c:extLst>
        </c:ser>
        <c:ser>
          <c:idx val="1"/>
          <c:order val="1"/>
          <c:tx>
            <c:strRef>
              <c:f>Sheet10!$C$3</c:f>
              <c:strCache>
                <c:ptCount val="1"/>
                <c:pt idx="0">
                  <c:v>Sum of NPV</c:v>
                </c:pt>
              </c:strCache>
            </c:strRef>
          </c:tx>
          <c:spPr>
            <a:gradFill rotWithShape="1">
              <a:gsLst>
                <a:gs pos="0">
                  <a:schemeClr val="accent2">
                    <a:tint val="98000"/>
                    <a:satMod val="110000"/>
                    <a:lumMod val="104000"/>
                  </a:schemeClr>
                </a:gs>
                <a:gs pos="69000">
                  <a:schemeClr val="accent2">
                    <a:shade val="84000"/>
                    <a:satMod val="130000"/>
                    <a:lumMod val="92000"/>
                  </a:schemeClr>
                </a:gs>
                <a:gs pos="100000">
                  <a:schemeClr val="accent2">
                    <a:shade val="76000"/>
                    <a:satMod val="130000"/>
                    <a:lumMod val="88000"/>
                  </a:schemeClr>
                </a:gs>
              </a:gsLst>
              <a:lin ang="5400000" scaled="0"/>
            </a:gradFill>
            <a:ln>
              <a:noFill/>
            </a:ln>
            <a:effectLst>
              <a:outerShdw blurRad="38100" dist="25400" dir="5400000" rotWithShape="0">
                <a:srgbClr val="000000">
                  <a:alpha val="75000"/>
                </a:srgbClr>
              </a:outerShdw>
            </a:effectLst>
            <a:scene3d>
              <a:camera prst="orthographicFront">
                <a:rot lat="0" lon="0" rev="0"/>
              </a:camera>
              <a:lightRig rig="threePt" dir="tl"/>
            </a:scene3d>
            <a:sp3d>
              <a:bevelT w="0" h="0"/>
            </a:sp3d>
          </c:spPr>
          <c:invertIfNegative val="0"/>
          <c:cat>
            <c:multiLvlStrRef>
              <c:f>Sheet10!$A$4:$A$6</c:f>
              <c:multiLvlStrCache>
                <c:ptCount val="1"/>
                <c:lvl>
                  <c:pt idx="0">
                    <c:v>Project B </c:v>
                  </c:pt>
                </c:lvl>
                <c:lvl>
                  <c:pt idx="0">
                    <c:v>1.17 year </c:v>
                  </c:pt>
                </c:lvl>
              </c:multiLvlStrCache>
            </c:multiLvlStrRef>
          </c:cat>
          <c:val>
            <c:numRef>
              <c:f>Sheet10!$C$4:$C$6</c:f>
              <c:numCache>
                <c:formatCode>General</c:formatCode>
                <c:ptCount val="1"/>
                <c:pt idx="0">
                  <c:v>59949</c:v>
                </c:pt>
              </c:numCache>
            </c:numRef>
          </c:val>
          <c:extLst>
            <c:ext xmlns:c16="http://schemas.microsoft.com/office/drawing/2014/chart" uri="{C3380CC4-5D6E-409C-BE32-E72D297353CC}">
              <c16:uniqueId val="{00000001-71A9-48AB-A9A0-D60B1391477A}"/>
            </c:ext>
          </c:extLst>
        </c:ser>
        <c:ser>
          <c:idx val="2"/>
          <c:order val="2"/>
          <c:tx>
            <c:strRef>
              <c:f>Sheet10!$D$3</c:f>
              <c:strCache>
                <c:ptCount val="1"/>
                <c:pt idx="0">
                  <c:v>Sum of Profitability Index</c:v>
                </c:pt>
              </c:strCache>
            </c:strRef>
          </c:tx>
          <c:spPr>
            <a:gradFill rotWithShape="1">
              <a:gsLst>
                <a:gs pos="0">
                  <a:schemeClr val="accent3">
                    <a:tint val="98000"/>
                    <a:satMod val="110000"/>
                    <a:lumMod val="104000"/>
                  </a:schemeClr>
                </a:gs>
                <a:gs pos="69000">
                  <a:schemeClr val="accent3">
                    <a:shade val="84000"/>
                    <a:satMod val="130000"/>
                    <a:lumMod val="92000"/>
                  </a:schemeClr>
                </a:gs>
                <a:gs pos="100000">
                  <a:schemeClr val="accent3">
                    <a:shade val="76000"/>
                    <a:satMod val="130000"/>
                    <a:lumMod val="88000"/>
                  </a:schemeClr>
                </a:gs>
              </a:gsLst>
              <a:lin ang="5400000" scaled="0"/>
            </a:gradFill>
            <a:ln>
              <a:noFill/>
            </a:ln>
            <a:effectLst>
              <a:outerShdw blurRad="38100" dist="25400" dir="5400000" rotWithShape="0">
                <a:srgbClr val="000000">
                  <a:alpha val="75000"/>
                </a:srgbClr>
              </a:outerShdw>
            </a:effectLst>
            <a:scene3d>
              <a:camera prst="orthographicFront">
                <a:rot lat="0" lon="0" rev="0"/>
              </a:camera>
              <a:lightRig rig="threePt" dir="tl"/>
            </a:scene3d>
            <a:sp3d>
              <a:bevelT w="0" h="0"/>
            </a:sp3d>
          </c:spPr>
          <c:invertIfNegative val="0"/>
          <c:cat>
            <c:multiLvlStrRef>
              <c:f>Sheet10!$A$4:$A$6</c:f>
              <c:multiLvlStrCache>
                <c:ptCount val="1"/>
                <c:lvl>
                  <c:pt idx="0">
                    <c:v>Project B </c:v>
                  </c:pt>
                </c:lvl>
                <c:lvl>
                  <c:pt idx="0">
                    <c:v>1.17 year </c:v>
                  </c:pt>
                </c:lvl>
              </c:multiLvlStrCache>
            </c:multiLvlStrRef>
          </c:cat>
          <c:val>
            <c:numRef>
              <c:f>Sheet10!$D$4:$D$6</c:f>
              <c:numCache>
                <c:formatCode>General</c:formatCode>
                <c:ptCount val="1"/>
                <c:pt idx="0">
                  <c:v>1.6</c:v>
                </c:pt>
              </c:numCache>
            </c:numRef>
          </c:val>
          <c:extLst>
            <c:ext xmlns:c16="http://schemas.microsoft.com/office/drawing/2014/chart" uri="{C3380CC4-5D6E-409C-BE32-E72D297353CC}">
              <c16:uniqueId val="{00000002-71A9-48AB-A9A0-D60B1391477A}"/>
            </c:ext>
          </c:extLst>
        </c:ser>
        <c:dLbls>
          <c:showLegendKey val="0"/>
          <c:showVal val="0"/>
          <c:showCatName val="0"/>
          <c:showSerName val="0"/>
          <c:showPercent val="0"/>
          <c:showBubbleSize val="0"/>
        </c:dLbls>
        <c:gapWidth val="150"/>
        <c:shape val="box"/>
        <c:axId val="1323436568"/>
        <c:axId val="1323437288"/>
        <c:axId val="967254976"/>
      </c:bar3DChart>
      <c:catAx>
        <c:axId val="1323436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3437288"/>
        <c:crosses val="autoZero"/>
        <c:auto val="1"/>
        <c:lblAlgn val="ctr"/>
        <c:lblOffset val="100"/>
        <c:noMultiLvlLbl val="0"/>
      </c:catAx>
      <c:valAx>
        <c:axId val="132343728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3436568"/>
        <c:crosses val="autoZero"/>
        <c:crossBetween val="between"/>
      </c:valAx>
      <c:serAx>
        <c:axId val="96725497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343728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[2023_Assignment for Analytics in Finance_1.xlsx]Pivot in-outflow!PivotTable16</c:name>
    <c:fmtId val="0"/>
  </c:pivotSource>
  <c:chart>
    <c:title>
      <c:tx>
        <c:rich>
          <a:bodyPr rot="0" spcFirstLastPara="1" vertOverflow="ellipsis" vert="horz" wrap="square" anchor="ctr" anchorCtr="1"/>
          <a:lstStyle/>
          <a:p>
            <a:pPr>
              <a:defRPr sz="1600" b="1" i="0" u="none" strike="noStrike" kern="1200" baseline="0">
                <a:ln>
                  <a:noFill/>
                </a:ln>
                <a:solidFill>
                  <a:schemeClr val="tx1"/>
                </a:solidFill>
                <a:latin typeface="+mn-lt"/>
                <a:ea typeface="+mn-ea"/>
                <a:cs typeface="+mn-cs"/>
              </a:defRPr>
            </a:pPr>
            <a:r>
              <a:rPr lang="en-US"/>
              <a:t>Inflows &amp; Outflows for projects</a:t>
            </a:r>
          </a:p>
        </c:rich>
      </c:tx>
      <c:layout>
        <c:manualLayout>
          <c:xMode val="edge"/>
          <c:yMode val="edge"/>
          <c:x val="0.34579744150892311"/>
          <c:y val="2.6858509132195226E-2"/>
        </c:manualLayout>
      </c:layout>
      <c:overlay val="0"/>
      <c:spPr>
        <a:solidFill>
          <a:srgbClr val="0070C0">
            <a:alpha val="69000"/>
          </a:srgbClr>
        </a:solidFill>
        <a:ln w="69850">
          <a:solidFill>
            <a:srgbClr val="0070C0">
              <a:alpha val="60000"/>
            </a:srgbClr>
          </a:solidFill>
        </a:ln>
        <a:effectLst/>
      </c:spPr>
      <c:txPr>
        <a:bodyPr rot="0" spcFirstLastPara="1" vertOverflow="ellipsis" vert="horz" wrap="square" anchor="ctr" anchorCtr="1"/>
        <a:lstStyle/>
        <a:p>
          <a:pPr>
            <a:defRPr sz="1600" b="1" i="0" u="none" strike="noStrike" kern="1200" baseline="0">
              <a:ln>
                <a:noFill/>
              </a:ln>
              <a:solidFill>
                <a:schemeClr val="tx1"/>
              </a:solidFill>
              <a:latin typeface="+mn-lt"/>
              <a:ea typeface="+mn-ea"/>
              <a:cs typeface="+mn-cs"/>
            </a:defRPr>
          </a:pPr>
          <a:endParaRPr lang="en-US"/>
        </a:p>
      </c:txPr>
    </c:title>
    <c:autoTitleDeleted val="0"/>
    <c:pivotFmts>
      <c:pivotFmt>
        <c:idx val="0"/>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hade val="76000"/>
                  <a:tint val="98000"/>
                  <a:satMod val="110000"/>
                  <a:lumMod val="104000"/>
                </a:schemeClr>
              </a:gs>
              <a:gs pos="69000">
                <a:schemeClr val="accent5">
                  <a:shade val="76000"/>
                  <a:shade val="84000"/>
                  <a:satMod val="130000"/>
                  <a:lumMod val="92000"/>
                </a:schemeClr>
              </a:gs>
              <a:gs pos="100000">
                <a:schemeClr val="accent5">
                  <a:shade val="76000"/>
                  <a:shade val="76000"/>
                  <a:satMod val="130000"/>
                  <a:lumMod val="88000"/>
                </a:schemeClr>
              </a:gs>
            </a:gsLst>
            <a:lin ang="5400000" scaled="0"/>
          </a:gra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in-outflow'!$B$3</c:f>
              <c:strCache>
                <c:ptCount val="1"/>
                <c:pt idx="0">
                  <c:v>Sum of Project A</c:v>
                </c:pt>
              </c:strCache>
            </c:strRef>
          </c:tx>
          <c:spPr>
            <a:gradFill rotWithShape="1">
              <a:gsLst>
                <a:gs pos="0">
                  <a:schemeClr val="accent5">
                    <a:tint val="54000"/>
                    <a:tint val="98000"/>
                    <a:satMod val="110000"/>
                    <a:lumMod val="104000"/>
                  </a:schemeClr>
                </a:gs>
                <a:gs pos="69000">
                  <a:schemeClr val="accent5">
                    <a:tint val="54000"/>
                    <a:shade val="84000"/>
                    <a:satMod val="130000"/>
                    <a:lumMod val="92000"/>
                  </a:schemeClr>
                </a:gs>
                <a:gs pos="100000">
                  <a:schemeClr val="accent5">
                    <a:tint val="54000"/>
                    <a:shade val="76000"/>
                    <a:satMod val="130000"/>
                    <a:lumMod val="88000"/>
                  </a:schemeClr>
                </a:gs>
              </a:gsLst>
              <a:lin ang="5400000" scaled="0"/>
            </a:gradFill>
            <a:ln>
              <a:noFill/>
            </a:ln>
            <a:effectLst/>
            <a:sp3d/>
          </c:spPr>
          <c:invertIfNegative val="0"/>
          <c:cat>
            <c:strRef>
              <c:f>'Pivot in-outflow'!$A$4</c:f>
              <c:strCache>
                <c:ptCount val="1"/>
                <c:pt idx="0">
                  <c:v>Grand Total</c:v>
                </c:pt>
              </c:strCache>
            </c:strRef>
          </c:cat>
          <c:val>
            <c:numRef>
              <c:f>'Pivot in-outflow'!$B$4</c:f>
              <c:numCache>
                <c:formatCode>"RM"#,##0</c:formatCode>
                <c:ptCount val="1"/>
              </c:numCache>
            </c:numRef>
          </c:val>
          <c:extLst>
            <c:ext xmlns:c16="http://schemas.microsoft.com/office/drawing/2014/chart" uri="{C3380CC4-5D6E-409C-BE32-E72D297353CC}">
              <c16:uniqueId val="{00000000-B606-4559-BD52-4573D4EA90B4}"/>
            </c:ext>
          </c:extLst>
        </c:ser>
        <c:ser>
          <c:idx val="1"/>
          <c:order val="1"/>
          <c:tx>
            <c:strRef>
              <c:f>'Pivot in-outflow'!$C$3</c:f>
              <c:strCache>
                <c:ptCount val="1"/>
                <c:pt idx="0">
                  <c:v>Sum of Project B </c:v>
                </c:pt>
              </c:strCache>
            </c:strRef>
          </c:tx>
          <c:spPr>
            <a:gradFill rotWithShape="1">
              <a:gsLst>
                <a:gs pos="0">
                  <a:schemeClr val="accent5">
                    <a:tint val="77000"/>
                    <a:tint val="98000"/>
                    <a:satMod val="110000"/>
                    <a:lumMod val="104000"/>
                  </a:schemeClr>
                </a:gs>
                <a:gs pos="69000">
                  <a:schemeClr val="accent5">
                    <a:tint val="77000"/>
                    <a:shade val="84000"/>
                    <a:satMod val="130000"/>
                    <a:lumMod val="92000"/>
                  </a:schemeClr>
                </a:gs>
                <a:gs pos="100000">
                  <a:schemeClr val="accent5">
                    <a:tint val="77000"/>
                    <a:shade val="76000"/>
                    <a:satMod val="130000"/>
                    <a:lumMod val="88000"/>
                  </a:schemeClr>
                </a:gs>
              </a:gsLst>
              <a:lin ang="5400000" scaled="0"/>
            </a:gradFill>
            <a:ln>
              <a:noFill/>
            </a:ln>
            <a:effectLst/>
            <a:sp3d/>
          </c:spPr>
          <c:invertIfNegative val="0"/>
          <c:cat>
            <c:strRef>
              <c:f>'Pivot in-outflow'!$A$4</c:f>
              <c:strCache>
                <c:ptCount val="1"/>
                <c:pt idx="0">
                  <c:v>Grand Total</c:v>
                </c:pt>
              </c:strCache>
            </c:strRef>
          </c:cat>
          <c:val>
            <c:numRef>
              <c:f>'Pivot in-outflow'!$C$4</c:f>
              <c:numCache>
                <c:formatCode>"RM"#,##0</c:formatCode>
                <c:ptCount val="1"/>
              </c:numCache>
            </c:numRef>
          </c:val>
          <c:extLst>
            <c:ext xmlns:c16="http://schemas.microsoft.com/office/drawing/2014/chart" uri="{C3380CC4-5D6E-409C-BE32-E72D297353CC}">
              <c16:uniqueId val="{00000001-B606-4559-BD52-4573D4EA90B4}"/>
            </c:ext>
          </c:extLst>
        </c:ser>
        <c:ser>
          <c:idx val="2"/>
          <c:order val="2"/>
          <c:tx>
            <c:strRef>
              <c:f>'Pivot in-outflow'!$D$3</c:f>
              <c:strCache>
                <c:ptCount val="1"/>
                <c:pt idx="0">
                  <c:v>Sum of Project C</c:v>
                </c:pt>
              </c:strCache>
            </c:strRef>
          </c:tx>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sp3d/>
          </c:spPr>
          <c:invertIfNegative val="0"/>
          <c:cat>
            <c:strRef>
              <c:f>'Pivot in-outflow'!$A$4</c:f>
              <c:strCache>
                <c:ptCount val="1"/>
                <c:pt idx="0">
                  <c:v>Grand Total</c:v>
                </c:pt>
              </c:strCache>
            </c:strRef>
          </c:cat>
          <c:val>
            <c:numRef>
              <c:f>'Pivot in-outflow'!$D$4</c:f>
              <c:numCache>
                <c:formatCode>"RM"#,##0</c:formatCode>
                <c:ptCount val="1"/>
              </c:numCache>
            </c:numRef>
          </c:val>
          <c:extLst>
            <c:ext xmlns:c16="http://schemas.microsoft.com/office/drawing/2014/chart" uri="{C3380CC4-5D6E-409C-BE32-E72D297353CC}">
              <c16:uniqueId val="{00000002-B606-4559-BD52-4573D4EA90B4}"/>
            </c:ext>
          </c:extLst>
        </c:ser>
        <c:ser>
          <c:idx val="3"/>
          <c:order val="3"/>
          <c:tx>
            <c:strRef>
              <c:f>'Pivot in-outflow'!$E$3</c:f>
              <c:strCache>
                <c:ptCount val="1"/>
                <c:pt idx="0">
                  <c:v>Sum of Project F1 -RM</c:v>
                </c:pt>
              </c:strCache>
            </c:strRef>
          </c:tx>
          <c:spPr>
            <a:gradFill rotWithShape="1">
              <a:gsLst>
                <a:gs pos="0">
                  <a:schemeClr val="accent5">
                    <a:shade val="76000"/>
                    <a:tint val="98000"/>
                    <a:satMod val="110000"/>
                    <a:lumMod val="104000"/>
                  </a:schemeClr>
                </a:gs>
                <a:gs pos="69000">
                  <a:schemeClr val="accent5">
                    <a:shade val="76000"/>
                    <a:shade val="84000"/>
                    <a:satMod val="130000"/>
                    <a:lumMod val="92000"/>
                  </a:schemeClr>
                </a:gs>
                <a:gs pos="100000">
                  <a:schemeClr val="accent5">
                    <a:shade val="76000"/>
                    <a:shade val="76000"/>
                    <a:satMod val="130000"/>
                    <a:lumMod val="88000"/>
                  </a:schemeClr>
                </a:gs>
              </a:gsLst>
              <a:lin ang="5400000" scaled="0"/>
            </a:gradFill>
            <a:ln>
              <a:noFill/>
            </a:ln>
            <a:effectLst/>
            <a:sp3d/>
          </c:spPr>
          <c:invertIfNegative val="0"/>
          <c:cat>
            <c:strRef>
              <c:f>'Pivot in-outflow'!$A$4</c:f>
              <c:strCache>
                <c:ptCount val="1"/>
                <c:pt idx="0">
                  <c:v>Grand Total</c:v>
                </c:pt>
              </c:strCache>
            </c:strRef>
          </c:cat>
          <c:val>
            <c:numRef>
              <c:f>'Pivot in-outflow'!$E$4</c:f>
              <c:numCache>
                <c:formatCode>"RM"#,##0</c:formatCode>
                <c:ptCount val="1"/>
              </c:numCache>
            </c:numRef>
          </c:val>
          <c:extLst>
            <c:ext xmlns:c16="http://schemas.microsoft.com/office/drawing/2014/chart" uri="{C3380CC4-5D6E-409C-BE32-E72D297353CC}">
              <c16:uniqueId val="{00000003-B606-4559-BD52-4573D4EA90B4}"/>
            </c:ext>
          </c:extLst>
        </c:ser>
        <c:ser>
          <c:idx val="4"/>
          <c:order val="4"/>
          <c:tx>
            <c:strRef>
              <c:f>'Pivot in-outflow'!$F$3</c:f>
              <c:strCache>
                <c:ptCount val="1"/>
                <c:pt idx="0">
                  <c:v>Sum of Project F2 -RM</c:v>
                </c:pt>
              </c:strCache>
            </c:strRef>
          </c:tx>
          <c:spPr>
            <a:gradFill rotWithShape="1">
              <a:gsLst>
                <a:gs pos="0">
                  <a:schemeClr val="accent5">
                    <a:shade val="53000"/>
                    <a:tint val="98000"/>
                    <a:satMod val="110000"/>
                    <a:lumMod val="104000"/>
                  </a:schemeClr>
                </a:gs>
                <a:gs pos="69000">
                  <a:schemeClr val="accent5">
                    <a:shade val="53000"/>
                    <a:shade val="84000"/>
                    <a:satMod val="130000"/>
                    <a:lumMod val="92000"/>
                  </a:schemeClr>
                </a:gs>
                <a:gs pos="100000">
                  <a:schemeClr val="accent5">
                    <a:shade val="53000"/>
                    <a:shade val="76000"/>
                    <a:satMod val="130000"/>
                    <a:lumMod val="88000"/>
                  </a:schemeClr>
                </a:gs>
              </a:gsLst>
              <a:lin ang="5400000" scaled="0"/>
            </a:gradFill>
            <a:ln>
              <a:noFill/>
            </a:ln>
            <a:effectLst/>
            <a:sp3d/>
          </c:spPr>
          <c:invertIfNegative val="0"/>
          <c:cat>
            <c:strRef>
              <c:f>'Pivot in-outflow'!$A$4</c:f>
              <c:strCache>
                <c:ptCount val="1"/>
                <c:pt idx="0">
                  <c:v>Grand Total</c:v>
                </c:pt>
              </c:strCache>
            </c:strRef>
          </c:cat>
          <c:val>
            <c:numRef>
              <c:f>'Pivot in-outflow'!$F$4</c:f>
              <c:numCache>
                <c:formatCode>"RM"#,##0</c:formatCode>
                <c:ptCount val="1"/>
              </c:numCache>
            </c:numRef>
          </c:val>
          <c:extLst>
            <c:ext xmlns:c16="http://schemas.microsoft.com/office/drawing/2014/chart" uri="{C3380CC4-5D6E-409C-BE32-E72D297353CC}">
              <c16:uniqueId val="{00000004-B606-4559-BD52-4573D4EA90B4}"/>
            </c:ext>
          </c:extLst>
        </c:ser>
        <c:dLbls>
          <c:showLegendKey val="0"/>
          <c:showVal val="0"/>
          <c:showCatName val="0"/>
          <c:showSerName val="0"/>
          <c:showPercent val="0"/>
          <c:showBubbleSize val="0"/>
        </c:dLbls>
        <c:gapWidth val="150"/>
        <c:shape val="box"/>
        <c:axId val="916685960"/>
        <c:axId val="916686680"/>
        <c:axId val="0"/>
      </c:bar3DChart>
      <c:catAx>
        <c:axId val="916685960"/>
        <c:scaling>
          <c:orientation val="minMax"/>
        </c:scaling>
        <c:delete val="0"/>
        <c:axPos val="b"/>
        <c:title>
          <c:tx>
            <c:rich>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r>
                  <a:rPr lang="en-US"/>
                  <a:t>Year-Quarter</a:t>
                </a:r>
              </a:p>
            </c:rich>
          </c:tx>
          <c:overlay val="0"/>
          <c:spPr>
            <a:noFill/>
            <a:ln>
              <a:noFill/>
            </a:ln>
            <a:effectLst/>
          </c:spPr>
          <c:txPr>
            <a:bodyPr rot="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alpha val="8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916686680"/>
        <c:crosses val="autoZero"/>
        <c:auto val="1"/>
        <c:lblAlgn val="ctr"/>
        <c:lblOffset val="100"/>
        <c:noMultiLvlLbl val="0"/>
      </c:catAx>
      <c:valAx>
        <c:axId val="916686680"/>
        <c:scaling>
          <c:orientation val="minMax"/>
        </c:scaling>
        <c:delete val="0"/>
        <c:axPos val="l"/>
        <c:majorGridlines>
          <c:spPr>
            <a:ln w="9525" cap="flat" cmpd="sng" algn="ctr">
              <a:solidFill>
                <a:schemeClr val="tx2">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ln>
                    <a:noFill/>
                  </a:ln>
                  <a:solidFill>
                    <a:schemeClr val="tx1"/>
                  </a:solidFill>
                  <a:latin typeface="+mn-lt"/>
                  <a:ea typeface="+mn-ea"/>
                  <a:cs typeface="+mn-cs"/>
                </a:defRPr>
              </a:pPr>
              <a:endParaRPr lang="en-US"/>
            </a:p>
          </c:txPr>
        </c:title>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916685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41275" cap="flat" cmpd="sng" algn="ctr">
      <a:solidFill>
        <a:srgbClr val="002060">
          <a:alpha val="74000"/>
        </a:srgb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'Exponential Triple Smoothing'!$C$15</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'Exponential Triple Smoothing'!$B$16:$B$27</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'Exponential Triple Smoothing'!$C$16:$C$27</c:f>
              <c:numCache>
                <c:formatCode>"RM"#,##0</c:formatCode>
                <c:ptCount val="12"/>
                <c:pt idx="0">
                  <c:v>50000</c:v>
                </c:pt>
                <c:pt idx="1">
                  <c:v>55000</c:v>
                </c:pt>
                <c:pt idx="2">
                  <c:v>45000</c:v>
                </c:pt>
                <c:pt idx="3">
                  <c:v>60000</c:v>
                </c:pt>
                <c:pt idx="4">
                  <c:v>50000</c:v>
                </c:pt>
                <c:pt idx="5">
                  <c:v>55000</c:v>
                </c:pt>
                <c:pt idx="6">
                  <c:v>45000</c:v>
                </c:pt>
                <c:pt idx="7">
                  <c:v>60000</c:v>
                </c:pt>
                <c:pt idx="8">
                  <c:v>60000</c:v>
                </c:pt>
                <c:pt idx="9">
                  <c:v>66000</c:v>
                </c:pt>
                <c:pt idx="10">
                  <c:v>54000</c:v>
                </c:pt>
                <c:pt idx="11">
                  <c:v>72000</c:v>
                </c:pt>
              </c:numCache>
            </c:numRef>
          </c:val>
          <c:smooth val="0"/>
          <c:extLst>
            <c:ext xmlns:c16="http://schemas.microsoft.com/office/drawing/2014/chart" uri="{C3380CC4-5D6E-409C-BE32-E72D297353CC}">
              <c16:uniqueId val="{00000000-AA78-4626-A8C8-D236645B3135}"/>
            </c:ext>
          </c:extLst>
        </c:ser>
        <c:dLbls>
          <c:showLegendKey val="0"/>
          <c:showVal val="0"/>
          <c:showCatName val="0"/>
          <c:showSerName val="0"/>
          <c:showPercent val="0"/>
          <c:showBubbleSize val="0"/>
        </c:dLbls>
        <c:marker val="1"/>
        <c:smooth val="0"/>
        <c:axId val="620456976"/>
        <c:axId val="620462736"/>
      </c:lineChart>
      <c:dateAx>
        <c:axId val="6204569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462736"/>
        <c:crosses val="autoZero"/>
        <c:auto val="1"/>
        <c:lblOffset val="100"/>
        <c:baseTimeUnit val="months"/>
      </c:dateAx>
      <c:valAx>
        <c:axId val="620462736"/>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45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'Exponential Triple Smoothing'!$C$33</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'Exponential Triple Smoothing'!$B$34:$B$45</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'Exponential Triple Smoothing'!$C$34:$C$45</c:f>
              <c:numCache>
                <c:formatCode>"RM"#,##0</c:formatCode>
                <c:ptCount val="12"/>
                <c:pt idx="0">
                  <c:v>20000</c:v>
                </c:pt>
                <c:pt idx="1">
                  <c:v>22000</c:v>
                </c:pt>
                <c:pt idx="2">
                  <c:v>18000</c:v>
                </c:pt>
                <c:pt idx="3">
                  <c:v>25000</c:v>
                </c:pt>
                <c:pt idx="4">
                  <c:v>22000</c:v>
                </c:pt>
                <c:pt idx="5">
                  <c:v>25000</c:v>
                </c:pt>
                <c:pt idx="6">
                  <c:v>20000</c:v>
                </c:pt>
                <c:pt idx="7">
                  <c:v>28000</c:v>
                </c:pt>
                <c:pt idx="8">
                  <c:v>26611.764705882353</c:v>
                </c:pt>
                <c:pt idx="9">
                  <c:v>29752.941176470587</c:v>
                </c:pt>
                <c:pt idx="10">
                  <c:v>24070.588235294119</c:v>
                </c:pt>
                <c:pt idx="11">
                  <c:v>33564.705882352937</c:v>
                </c:pt>
              </c:numCache>
            </c:numRef>
          </c:val>
          <c:smooth val="0"/>
          <c:extLst>
            <c:ext xmlns:c16="http://schemas.microsoft.com/office/drawing/2014/chart" uri="{C3380CC4-5D6E-409C-BE32-E72D297353CC}">
              <c16:uniqueId val="{00000000-9EE0-4F8D-A62B-1115BFDBC0B3}"/>
            </c:ext>
          </c:extLst>
        </c:ser>
        <c:dLbls>
          <c:showLegendKey val="0"/>
          <c:showVal val="0"/>
          <c:showCatName val="0"/>
          <c:showSerName val="0"/>
          <c:showPercent val="0"/>
          <c:showBubbleSize val="0"/>
        </c:dLbls>
        <c:marker val="1"/>
        <c:smooth val="0"/>
        <c:axId val="651805376"/>
        <c:axId val="651808616"/>
      </c:lineChart>
      <c:dateAx>
        <c:axId val="6518053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08616"/>
        <c:crosses val="autoZero"/>
        <c:auto val="1"/>
        <c:lblOffset val="100"/>
        <c:baseTimeUnit val="months"/>
      </c:dateAx>
      <c:valAx>
        <c:axId val="651808616"/>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0537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'Exponential Triple Smoothing'!$C$51</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'Exponential Triple Smoothing'!$B$52:$B$63</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'Exponential Triple Smoothing'!$C$52:$C$63</c:f>
              <c:numCache>
                <c:formatCode>"RM"#,##0</c:formatCode>
                <c:ptCount val="12"/>
                <c:pt idx="0">
                  <c:v>5000</c:v>
                </c:pt>
                <c:pt idx="1">
                  <c:v>6000</c:v>
                </c:pt>
                <c:pt idx="2">
                  <c:v>4000</c:v>
                </c:pt>
                <c:pt idx="3">
                  <c:v>8000</c:v>
                </c:pt>
                <c:pt idx="4">
                  <c:v>9000</c:v>
                </c:pt>
                <c:pt idx="5">
                  <c:v>10000</c:v>
                </c:pt>
                <c:pt idx="6">
                  <c:v>8000</c:v>
                </c:pt>
                <c:pt idx="7">
                  <c:v>15000</c:v>
                </c:pt>
                <c:pt idx="8">
                  <c:v>10878.260869565216</c:v>
                </c:pt>
                <c:pt idx="9">
                  <c:v>12573.91304347826</c:v>
                </c:pt>
                <c:pt idx="10">
                  <c:v>9182.608695652174</c:v>
                </c:pt>
                <c:pt idx="11">
                  <c:v>17765.217391304348</c:v>
                </c:pt>
              </c:numCache>
            </c:numRef>
          </c:val>
          <c:smooth val="0"/>
          <c:extLst>
            <c:ext xmlns:c16="http://schemas.microsoft.com/office/drawing/2014/chart" uri="{C3380CC4-5D6E-409C-BE32-E72D297353CC}">
              <c16:uniqueId val="{00000000-A268-41D0-AF3B-6E980283B01B}"/>
            </c:ext>
          </c:extLst>
        </c:ser>
        <c:dLbls>
          <c:showLegendKey val="0"/>
          <c:showVal val="0"/>
          <c:showCatName val="0"/>
          <c:showSerName val="0"/>
          <c:showPercent val="0"/>
          <c:showBubbleSize val="0"/>
        </c:dLbls>
        <c:marker val="1"/>
        <c:smooth val="0"/>
        <c:axId val="733198808"/>
        <c:axId val="733199888"/>
      </c:lineChart>
      <c:dateAx>
        <c:axId val="73319880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99888"/>
        <c:crosses val="autoZero"/>
        <c:auto val="1"/>
        <c:lblOffset val="100"/>
        <c:baseTimeUnit val="months"/>
      </c:dateAx>
      <c:valAx>
        <c:axId val="733199888"/>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9880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'Exponential Triple Smoothing'!$C$69</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'Exponential Triple Smoothing'!$B$70:$B$81</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'Exponential Triple Smoothing'!$C$70:$C$81</c:f>
              <c:numCache>
                <c:formatCode>[$USD]\ #,##0</c:formatCode>
                <c:ptCount val="12"/>
                <c:pt idx="0">
                  <c:v>15000</c:v>
                </c:pt>
                <c:pt idx="1">
                  <c:v>15500</c:v>
                </c:pt>
                <c:pt idx="2">
                  <c:v>13000</c:v>
                </c:pt>
                <c:pt idx="3">
                  <c:v>18000</c:v>
                </c:pt>
                <c:pt idx="4">
                  <c:v>16000</c:v>
                </c:pt>
                <c:pt idx="5">
                  <c:v>18000</c:v>
                </c:pt>
                <c:pt idx="6">
                  <c:v>15000</c:v>
                </c:pt>
                <c:pt idx="7">
                  <c:v>20000</c:v>
                </c:pt>
                <c:pt idx="8">
                  <c:v>19697.560975609758</c:v>
                </c:pt>
                <c:pt idx="9">
                  <c:v>21234.146341463413</c:v>
                </c:pt>
                <c:pt idx="10">
                  <c:v>17751.219512195123</c:v>
                </c:pt>
                <c:pt idx="11">
                  <c:v>24117.073170731706</c:v>
                </c:pt>
              </c:numCache>
            </c:numRef>
          </c:val>
          <c:smooth val="0"/>
          <c:extLst>
            <c:ext xmlns:c16="http://schemas.microsoft.com/office/drawing/2014/chart" uri="{C3380CC4-5D6E-409C-BE32-E72D297353CC}">
              <c16:uniqueId val="{00000000-1683-4295-A628-4C4855571F14}"/>
            </c:ext>
          </c:extLst>
        </c:ser>
        <c:dLbls>
          <c:showLegendKey val="0"/>
          <c:showVal val="0"/>
          <c:showCatName val="0"/>
          <c:showSerName val="0"/>
          <c:showPercent val="0"/>
          <c:showBubbleSize val="0"/>
        </c:dLbls>
        <c:marker val="1"/>
        <c:smooth val="0"/>
        <c:axId val="739872768"/>
        <c:axId val="739873128"/>
      </c:lineChart>
      <c:dateAx>
        <c:axId val="7398727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73128"/>
        <c:crosses val="autoZero"/>
        <c:auto val="1"/>
        <c:lblOffset val="100"/>
        <c:baseTimeUnit val="months"/>
      </c:dateAx>
      <c:valAx>
        <c:axId val="739873128"/>
        <c:scaling>
          <c:orientation val="minMax"/>
        </c:scaling>
        <c:delete val="0"/>
        <c:axPos val="l"/>
        <c:majorGridlines>
          <c:spPr>
            <a:ln w="9525" cap="flat" cmpd="sng" algn="ctr">
              <a:solidFill>
                <a:schemeClr val="tx1">
                  <a:lumMod val="15000"/>
                  <a:lumOff val="85000"/>
                </a:schemeClr>
              </a:solidFill>
              <a:round/>
            </a:ln>
            <a:effectLst/>
          </c:spPr>
        </c:majorGridlines>
        <c:numFmt formatCode="[$USD]\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7276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'Exponential Triple Smoothing'!$C$87</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'Exponential Triple Smoothing'!$B$88:$B$99</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'Exponential Triple Smoothing'!$C$88:$C$99</c:f>
              <c:numCache>
                <c:formatCode>[$¥-804]#,##0</c:formatCode>
                <c:ptCount val="12"/>
                <c:pt idx="0">
                  <c:v>200000</c:v>
                </c:pt>
                <c:pt idx="1">
                  <c:v>180000</c:v>
                </c:pt>
                <c:pt idx="2">
                  <c:v>215000</c:v>
                </c:pt>
                <c:pt idx="3">
                  <c:v>220000</c:v>
                </c:pt>
                <c:pt idx="4">
                  <c:v>250000</c:v>
                </c:pt>
                <c:pt idx="5">
                  <c:v>260000</c:v>
                </c:pt>
                <c:pt idx="6">
                  <c:v>210000</c:v>
                </c:pt>
                <c:pt idx="7">
                  <c:v>260000</c:v>
                </c:pt>
                <c:pt idx="8">
                  <c:v>294294.47852760734</c:v>
                </c:pt>
                <c:pt idx="9">
                  <c:v>285865.03067484661</c:v>
                </c:pt>
                <c:pt idx="10">
                  <c:v>281116.56441717787</c:v>
                </c:pt>
                <c:pt idx="11">
                  <c:v>314723.92638036812</c:v>
                </c:pt>
              </c:numCache>
            </c:numRef>
          </c:val>
          <c:smooth val="0"/>
          <c:extLst>
            <c:ext xmlns:c16="http://schemas.microsoft.com/office/drawing/2014/chart" uri="{C3380CC4-5D6E-409C-BE32-E72D297353CC}">
              <c16:uniqueId val="{00000000-0642-42F9-9AED-9D7231997D03}"/>
            </c:ext>
          </c:extLst>
        </c:ser>
        <c:dLbls>
          <c:showLegendKey val="0"/>
          <c:showVal val="0"/>
          <c:showCatName val="0"/>
          <c:showSerName val="0"/>
          <c:showPercent val="0"/>
          <c:showBubbleSize val="0"/>
        </c:dLbls>
        <c:marker val="1"/>
        <c:smooth val="0"/>
        <c:axId val="788202472"/>
        <c:axId val="788206792"/>
      </c:lineChart>
      <c:dateAx>
        <c:axId val="7882024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06792"/>
        <c:crosses val="autoZero"/>
        <c:auto val="1"/>
        <c:lblOffset val="100"/>
        <c:baseTimeUnit val="months"/>
      </c:dateAx>
      <c:valAx>
        <c:axId val="788206792"/>
        <c:scaling>
          <c:orientation val="minMax"/>
        </c:scaling>
        <c:delete val="0"/>
        <c:axPos val="l"/>
        <c:majorGridlines>
          <c:spPr>
            <a:ln w="9525" cap="flat" cmpd="sng" algn="ctr">
              <a:solidFill>
                <a:schemeClr val="tx1">
                  <a:lumMod val="15000"/>
                  <a:lumOff val="85000"/>
                </a:schemeClr>
              </a:solidFill>
              <a:round/>
            </a:ln>
            <a:effectLst/>
          </c:spPr>
        </c:majorGridlines>
        <c:numFmt formatCode="[$¥-804]#,##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024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'Exponential Triple Smoothing'!$C$105</c:f>
              <c:strCache>
                <c:ptCount val="1"/>
                <c:pt idx="0">
                  <c:v>FOREX (RM/USD)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'Exponential Triple Smoothing'!$B$106:$B$117</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'Exponential Triple Smoothing'!$C$106:$C$117</c:f>
              <c:numCache>
                <c:formatCode>General</c:formatCode>
                <c:ptCount val="12"/>
                <c:pt idx="0">
                  <c:v>4.8</c:v>
                </c:pt>
                <c:pt idx="1">
                  <c:v>4.8499999999999996</c:v>
                </c:pt>
                <c:pt idx="2">
                  <c:v>4.8</c:v>
                </c:pt>
                <c:pt idx="3">
                  <c:v>4.75</c:v>
                </c:pt>
                <c:pt idx="4">
                  <c:v>4.7</c:v>
                </c:pt>
                <c:pt idx="5">
                  <c:v>4.68</c:v>
                </c:pt>
                <c:pt idx="6">
                  <c:v>4.5999999999999996</c:v>
                </c:pt>
                <c:pt idx="7">
                  <c:v>4.59</c:v>
                </c:pt>
                <c:pt idx="8">
                  <c:v>4.5</c:v>
                </c:pt>
                <c:pt idx="9">
                  <c:v>4.5</c:v>
                </c:pt>
                <c:pt idx="10">
                  <c:v>4.5</c:v>
                </c:pt>
                <c:pt idx="11">
                  <c:v>4.5</c:v>
                </c:pt>
              </c:numCache>
            </c:numRef>
          </c:val>
          <c:smooth val="0"/>
          <c:extLst>
            <c:ext xmlns:c16="http://schemas.microsoft.com/office/drawing/2014/chart" uri="{C3380CC4-5D6E-409C-BE32-E72D297353CC}">
              <c16:uniqueId val="{00000000-EE58-4887-BDCE-059F5724E344}"/>
            </c:ext>
          </c:extLst>
        </c:ser>
        <c:dLbls>
          <c:showLegendKey val="0"/>
          <c:showVal val="0"/>
          <c:showCatName val="0"/>
          <c:showSerName val="0"/>
          <c:showPercent val="0"/>
          <c:showBubbleSize val="0"/>
        </c:dLbls>
        <c:marker val="1"/>
        <c:smooth val="0"/>
        <c:axId val="786405400"/>
        <c:axId val="786405760"/>
      </c:lineChart>
      <c:dateAx>
        <c:axId val="78640540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05760"/>
        <c:crosses val="autoZero"/>
        <c:auto val="1"/>
        <c:lblOffset val="100"/>
        <c:baseTimeUnit val="months"/>
      </c:dateAx>
      <c:valAx>
        <c:axId val="786405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054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'Exponential Triple Smoothing'!$C$123</c:f>
              <c:strCache>
                <c:ptCount val="1"/>
                <c:pt idx="0">
                  <c:v>FOREX (RMB/RM)</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'Exponential Triple Smoothing'!$B$124:$B$135</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'Exponential Triple Smoothing'!$C$124:$C$135</c:f>
              <c:numCache>
                <c:formatCode>General</c:formatCode>
                <c:ptCount val="12"/>
                <c:pt idx="0">
                  <c:v>1.7</c:v>
                </c:pt>
                <c:pt idx="1">
                  <c:v>1.78</c:v>
                </c:pt>
                <c:pt idx="2">
                  <c:v>1.8</c:v>
                </c:pt>
                <c:pt idx="3">
                  <c:v>1.81</c:v>
                </c:pt>
                <c:pt idx="4">
                  <c:v>1.78</c:v>
                </c:pt>
                <c:pt idx="5">
                  <c:v>1.7</c:v>
                </c:pt>
                <c:pt idx="6">
                  <c:v>1.6</c:v>
                </c:pt>
                <c:pt idx="7">
                  <c:v>1.53</c:v>
                </c:pt>
                <c:pt idx="8">
                  <c:v>1.5</c:v>
                </c:pt>
                <c:pt idx="9">
                  <c:v>1.48</c:v>
                </c:pt>
                <c:pt idx="10">
                  <c:v>1.46</c:v>
                </c:pt>
                <c:pt idx="11">
                  <c:v>1.45</c:v>
                </c:pt>
              </c:numCache>
            </c:numRef>
          </c:val>
          <c:smooth val="0"/>
          <c:extLst>
            <c:ext xmlns:c16="http://schemas.microsoft.com/office/drawing/2014/chart" uri="{C3380CC4-5D6E-409C-BE32-E72D297353CC}">
              <c16:uniqueId val="{00000000-BECA-41B2-A737-A1FEE3EAA769}"/>
            </c:ext>
          </c:extLst>
        </c:ser>
        <c:dLbls>
          <c:showLegendKey val="0"/>
          <c:showVal val="0"/>
          <c:showCatName val="0"/>
          <c:showSerName val="0"/>
          <c:showPercent val="0"/>
          <c:showBubbleSize val="0"/>
        </c:dLbls>
        <c:marker val="1"/>
        <c:smooth val="0"/>
        <c:axId val="790365272"/>
        <c:axId val="790365992"/>
      </c:lineChart>
      <c:dateAx>
        <c:axId val="790365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65992"/>
        <c:crosses val="autoZero"/>
        <c:auto val="1"/>
        <c:lblOffset val="100"/>
        <c:baseTimeUnit val="months"/>
      </c:dateAx>
      <c:valAx>
        <c:axId val="790365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652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'Linear Regression Forecasting'!$C$15</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'Linear Regression Forecasting'!$B$16:$B$27</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'Linear Regression Forecasting'!$C$16:$C$27</c:f>
              <c:numCache>
                <c:formatCode>"RM"#,##0</c:formatCode>
                <c:ptCount val="12"/>
                <c:pt idx="0">
                  <c:v>50000</c:v>
                </c:pt>
                <c:pt idx="1">
                  <c:v>55000</c:v>
                </c:pt>
                <c:pt idx="2">
                  <c:v>45000</c:v>
                </c:pt>
                <c:pt idx="3">
                  <c:v>60000</c:v>
                </c:pt>
                <c:pt idx="4">
                  <c:v>50000</c:v>
                </c:pt>
                <c:pt idx="5">
                  <c:v>55000</c:v>
                </c:pt>
                <c:pt idx="6">
                  <c:v>45000</c:v>
                </c:pt>
                <c:pt idx="7">
                  <c:v>60000</c:v>
                </c:pt>
                <c:pt idx="8">
                  <c:v>60000</c:v>
                </c:pt>
                <c:pt idx="9">
                  <c:v>66000</c:v>
                </c:pt>
                <c:pt idx="10">
                  <c:v>54000</c:v>
                </c:pt>
                <c:pt idx="11">
                  <c:v>72000</c:v>
                </c:pt>
              </c:numCache>
            </c:numRef>
          </c:val>
          <c:smooth val="0"/>
          <c:extLst>
            <c:ext xmlns:c16="http://schemas.microsoft.com/office/drawing/2014/chart" uri="{C3380CC4-5D6E-409C-BE32-E72D297353CC}">
              <c16:uniqueId val="{00000000-6209-447C-A3E2-CD7638CDC8F5}"/>
            </c:ext>
          </c:extLst>
        </c:ser>
        <c:dLbls>
          <c:showLegendKey val="0"/>
          <c:showVal val="0"/>
          <c:showCatName val="0"/>
          <c:showSerName val="0"/>
          <c:showPercent val="0"/>
          <c:showBubbleSize val="0"/>
        </c:dLbls>
        <c:marker val="1"/>
        <c:smooth val="0"/>
        <c:axId val="620456976"/>
        <c:axId val="620462736"/>
      </c:lineChart>
      <c:dateAx>
        <c:axId val="6204569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462736"/>
        <c:crosses val="autoZero"/>
        <c:auto val="1"/>
        <c:lblOffset val="100"/>
        <c:baseTimeUnit val="months"/>
      </c:dateAx>
      <c:valAx>
        <c:axId val="620462736"/>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45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'Linear Regression Forecasting'!$C$33</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'Linear Regression Forecasting'!$B$34:$B$45</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'Linear Regression Forecasting'!$C$34:$C$45</c:f>
              <c:numCache>
                <c:formatCode>"RM"#,##0</c:formatCode>
                <c:ptCount val="12"/>
                <c:pt idx="0">
                  <c:v>20000</c:v>
                </c:pt>
                <c:pt idx="1">
                  <c:v>22000</c:v>
                </c:pt>
                <c:pt idx="2">
                  <c:v>18000</c:v>
                </c:pt>
                <c:pt idx="3">
                  <c:v>25000</c:v>
                </c:pt>
                <c:pt idx="4">
                  <c:v>22000</c:v>
                </c:pt>
                <c:pt idx="5">
                  <c:v>25000</c:v>
                </c:pt>
                <c:pt idx="6">
                  <c:v>20000</c:v>
                </c:pt>
                <c:pt idx="7">
                  <c:v>28000</c:v>
                </c:pt>
                <c:pt idx="8">
                  <c:v>26611.764705882353</c:v>
                </c:pt>
                <c:pt idx="9">
                  <c:v>29752.941176470587</c:v>
                </c:pt>
                <c:pt idx="10">
                  <c:v>24070.588235294119</c:v>
                </c:pt>
                <c:pt idx="11">
                  <c:v>33564.705882352937</c:v>
                </c:pt>
              </c:numCache>
            </c:numRef>
          </c:val>
          <c:smooth val="0"/>
          <c:extLst>
            <c:ext xmlns:c16="http://schemas.microsoft.com/office/drawing/2014/chart" uri="{C3380CC4-5D6E-409C-BE32-E72D297353CC}">
              <c16:uniqueId val="{00000000-8E33-4141-8E67-468E00B12EAD}"/>
            </c:ext>
          </c:extLst>
        </c:ser>
        <c:dLbls>
          <c:showLegendKey val="0"/>
          <c:showVal val="0"/>
          <c:showCatName val="0"/>
          <c:showSerName val="0"/>
          <c:showPercent val="0"/>
          <c:showBubbleSize val="0"/>
        </c:dLbls>
        <c:marker val="1"/>
        <c:smooth val="0"/>
        <c:axId val="651805376"/>
        <c:axId val="651808616"/>
      </c:lineChart>
      <c:dateAx>
        <c:axId val="6518053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08616"/>
        <c:crosses val="autoZero"/>
        <c:auto val="1"/>
        <c:lblOffset val="100"/>
        <c:baseTimeUnit val="months"/>
      </c:dateAx>
      <c:valAx>
        <c:axId val="651808616"/>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0537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'Linear Regression Forecasting'!$C$51</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'Linear Regression Forecasting'!$B$52:$B$63</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'Linear Regression Forecasting'!$C$52:$C$63</c:f>
              <c:numCache>
                <c:formatCode>"RM"#,##0</c:formatCode>
                <c:ptCount val="12"/>
                <c:pt idx="0">
                  <c:v>5000</c:v>
                </c:pt>
                <c:pt idx="1">
                  <c:v>6000</c:v>
                </c:pt>
                <c:pt idx="2">
                  <c:v>4000</c:v>
                </c:pt>
                <c:pt idx="3">
                  <c:v>8000</c:v>
                </c:pt>
                <c:pt idx="4">
                  <c:v>9000</c:v>
                </c:pt>
                <c:pt idx="5">
                  <c:v>10000</c:v>
                </c:pt>
                <c:pt idx="6">
                  <c:v>8000</c:v>
                </c:pt>
                <c:pt idx="7">
                  <c:v>15000</c:v>
                </c:pt>
                <c:pt idx="8">
                  <c:v>10878.260869565216</c:v>
                </c:pt>
                <c:pt idx="9">
                  <c:v>12573.91304347826</c:v>
                </c:pt>
                <c:pt idx="10">
                  <c:v>9182.608695652174</c:v>
                </c:pt>
                <c:pt idx="11">
                  <c:v>17765.217391304348</c:v>
                </c:pt>
              </c:numCache>
            </c:numRef>
          </c:val>
          <c:smooth val="0"/>
          <c:extLst>
            <c:ext xmlns:c16="http://schemas.microsoft.com/office/drawing/2014/chart" uri="{C3380CC4-5D6E-409C-BE32-E72D297353CC}">
              <c16:uniqueId val="{00000000-BED3-4CAD-B588-862A63893062}"/>
            </c:ext>
          </c:extLst>
        </c:ser>
        <c:dLbls>
          <c:showLegendKey val="0"/>
          <c:showVal val="0"/>
          <c:showCatName val="0"/>
          <c:showSerName val="0"/>
          <c:showPercent val="0"/>
          <c:showBubbleSize val="0"/>
        </c:dLbls>
        <c:marker val="1"/>
        <c:smooth val="0"/>
        <c:axId val="733198808"/>
        <c:axId val="733199888"/>
      </c:lineChart>
      <c:dateAx>
        <c:axId val="73319880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99888"/>
        <c:crosses val="autoZero"/>
        <c:auto val="1"/>
        <c:lblOffset val="100"/>
        <c:baseTimeUnit val="months"/>
      </c:dateAx>
      <c:valAx>
        <c:axId val="733199888"/>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9880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'Linear Regression Forecasting'!$C$69</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'Linear Regression Forecasting'!$B$70:$B$81</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'Linear Regression Forecasting'!$C$70:$C$81</c:f>
              <c:numCache>
                <c:formatCode>[$USD]\ #,##0</c:formatCode>
                <c:ptCount val="12"/>
                <c:pt idx="0">
                  <c:v>15000</c:v>
                </c:pt>
                <c:pt idx="1">
                  <c:v>15500</c:v>
                </c:pt>
                <c:pt idx="2">
                  <c:v>13000</c:v>
                </c:pt>
                <c:pt idx="3">
                  <c:v>18000</c:v>
                </c:pt>
                <c:pt idx="4">
                  <c:v>16000</c:v>
                </c:pt>
                <c:pt idx="5">
                  <c:v>18000</c:v>
                </c:pt>
                <c:pt idx="6">
                  <c:v>15000</c:v>
                </c:pt>
                <c:pt idx="7">
                  <c:v>20000</c:v>
                </c:pt>
                <c:pt idx="8">
                  <c:v>19697.560975609758</c:v>
                </c:pt>
                <c:pt idx="9">
                  <c:v>21234.146341463413</c:v>
                </c:pt>
                <c:pt idx="10">
                  <c:v>17751.219512195123</c:v>
                </c:pt>
                <c:pt idx="11">
                  <c:v>24117.073170731706</c:v>
                </c:pt>
              </c:numCache>
            </c:numRef>
          </c:val>
          <c:smooth val="0"/>
          <c:extLst>
            <c:ext xmlns:c16="http://schemas.microsoft.com/office/drawing/2014/chart" uri="{C3380CC4-5D6E-409C-BE32-E72D297353CC}">
              <c16:uniqueId val="{00000000-FD0C-46A5-A171-E2EFACBC17E0}"/>
            </c:ext>
          </c:extLst>
        </c:ser>
        <c:dLbls>
          <c:showLegendKey val="0"/>
          <c:showVal val="0"/>
          <c:showCatName val="0"/>
          <c:showSerName val="0"/>
          <c:showPercent val="0"/>
          <c:showBubbleSize val="0"/>
        </c:dLbls>
        <c:marker val="1"/>
        <c:smooth val="0"/>
        <c:axId val="739872768"/>
        <c:axId val="739873128"/>
      </c:lineChart>
      <c:dateAx>
        <c:axId val="7398727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73128"/>
        <c:crosses val="autoZero"/>
        <c:auto val="1"/>
        <c:lblOffset val="100"/>
        <c:baseTimeUnit val="months"/>
      </c:dateAx>
      <c:valAx>
        <c:axId val="739873128"/>
        <c:scaling>
          <c:orientation val="minMax"/>
        </c:scaling>
        <c:delete val="0"/>
        <c:axPos val="l"/>
        <c:majorGridlines>
          <c:spPr>
            <a:ln w="9525" cap="flat" cmpd="sng" algn="ctr">
              <a:solidFill>
                <a:schemeClr val="tx1">
                  <a:lumMod val="15000"/>
                  <a:lumOff val="85000"/>
                </a:schemeClr>
              </a:solidFill>
              <a:round/>
            </a:ln>
            <a:effectLst/>
          </c:spPr>
        </c:majorGridlines>
        <c:numFmt formatCode="[$USD]\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7276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'Linear Regression Forecasting'!$C$87</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'Linear Regression Forecasting'!$B$88:$B$99</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'Linear Regression Forecasting'!$C$88:$C$99</c:f>
              <c:numCache>
                <c:formatCode>[$¥-804]#,##0</c:formatCode>
                <c:ptCount val="12"/>
                <c:pt idx="0">
                  <c:v>200000</c:v>
                </c:pt>
                <c:pt idx="1">
                  <c:v>180000</c:v>
                </c:pt>
                <c:pt idx="2">
                  <c:v>215000</c:v>
                </c:pt>
                <c:pt idx="3">
                  <c:v>220000</c:v>
                </c:pt>
                <c:pt idx="4">
                  <c:v>250000</c:v>
                </c:pt>
                <c:pt idx="5">
                  <c:v>260000</c:v>
                </c:pt>
                <c:pt idx="6">
                  <c:v>210000</c:v>
                </c:pt>
                <c:pt idx="7">
                  <c:v>260000</c:v>
                </c:pt>
                <c:pt idx="8">
                  <c:v>294294.47852760734</c:v>
                </c:pt>
                <c:pt idx="9">
                  <c:v>285865.03067484661</c:v>
                </c:pt>
                <c:pt idx="10">
                  <c:v>281116.56441717787</c:v>
                </c:pt>
                <c:pt idx="11">
                  <c:v>314723.92638036812</c:v>
                </c:pt>
              </c:numCache>
            </c:numRef>
          </c:val>
          <c:smooth val="0"/>
          <c:extLst>
            <c:ext xmlns:c16="http://schemas.microsoft.com/office/drawing/2014/chart" uri="{C3380CC4-5D6E-409C-BE32-E72D297353CC}">
              <c16:uniqueId val="{00000000-7939-4A30-A275-73DD7778E637}"/>
            </c:ext>
          </c:extLst>
        </c:ser>
        <c:dLbls>
          <c:showLegendKey val="0"/>
          <c:showVal val="0"/>
          <c:showCatName val="0"/>
          <c:showSerName val="0"/>
          <c:showPercent val="0"/>
          <c:showBubbleSize val="0"/>
        </c:dLbls>
        <c:marker val="1"/>
        <c:smooth val="0"/>
        <c:axId val="788202472"/>
        <c:axId val="788206792"/>
      </c:lineChart>
      <c:dateAx>
        <c:axId val="7882024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06792"/>
        <c:crosses val="autoZero"/>
        <c:auto val="1"/>
        <c:lblOffset val="100"/>
        <c:baseTimeUnit val="months"/>
      </c:dateAx>
      <c:valAx>
        <c:axId val="788206792"/>
        <c:scaling>
          <c:orientation val="minMax"/>
        </c:scaling>
        <c:delete val="0"/>
        <c:axPos val="l"/>
        <c:majorGridlines>
          <c:spPr>
            <a:ln w="9525" cap="flat" cmpd="sng" algn="ctr">
              <a:solidFill>
                <a:schemeClr val="tx1">
                  <a:lumMod val="15000"/>
                  <a:lumOff val="85000"/>
                </a:schemeClr>
              </a:solidFill>
              <a:round/>
            </a:ln>
            <a:effectLst/>
          </c:spPr>
        </c:majorGridlines>
        <c:numFmt formatCode="[$¥-804]#,##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024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'Linear Regression Forecasting'!$C$105</c:f>
              <c:strCache>
                <c:ptCount val="1"/>
                <c:pt idx="0">
                  <c:v>FOREX (RM/USD)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'Linear Regression Forecasting'!$B$106:$B$117</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'Linear Regression Forecasting'!$C$106:$C$117</c:f>
              <c:numCache>
                <c:formatCode>General</c:formatCode>
                <c:ptCount val="12"/>
                <c:pt idx="0">
                  <c:v>4.8</c:v>
                </c:pt>
                <c:pt idx="1">
                  <c:v>4.8499999999999996</c:v>
                </c:pt>
                <c:pt idx="2">
                  <c:v>4.8</c:v>
                </c:pt>
                <c:pt idx="3">
                  <c:v>4.75</c:v>
                </c:pt>
                <c:pt idx="4">
                  <c:v>4.7</c:v>
                </c:pt>
                <c:pt idx="5">
                  <c:v>4.68</c:v>
                </c:pt>
                <c:pt idx="6">
                  <c:v>4.5999999999999996</c:v>
                </c:pt>
                <c:pt idx="7">
                  <c:v>4.59</c:v>
                </c:pt>
                <c:pt idx="8">
                  <c:v>4.5</c:v>
                </c:pt>
                <c:pt idx="9">
                  <c:v>4.5</c:v>
                </c:pt>
                <c:pt idx="10">
                  <c:v>4.5</c:v>
                </c:pt>
                <c:pt idx="11">
                  <c:v>4.5</c:v>
                </c:pt>
              </c:numCache>
            </c:numRef>
          </c:val>
          <c:smooth val="0"/>
          <c:extLst>
            <c:ext xmlns:c16="http://schemas.microsoft.com/office/drawing/2014/chart" uri="{C3380CC4-5D6E-409C-BE32-E72D297353CC}">
              <c16:uniqueId val="{00000000-BF2E-4334-8C41-F6AD33740EE3}"/>
            </c:ext>
          </c:extLst>
        </c:ser>
        <c:dLbls>
          <c:showLegendKey val="0"/>
          <c:showVal val="0"/>
          <c:showCatName val="0"/>
          <c:showSerName val="0"/>
          <c:showPercent val="0"/>
          <c:showBubbleSize val="0"/>
        </c:dLbls>
        <c:marker val="1"/>
        <c:smooth val="0"/>
        <c:axId val="786405400"/>
        <c:axId val="786405760"/>
      </c:lineChart>
      <c:dateAx>
        <c:axId val="78640540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05760"/>
        <c:crosses val="autoZero"/>
        <c:auto val="1"/>
        <c:lblOffset val="100"/>
        <c:baseTimeUnit val="months"/>
      </c:dateAx>
      <c:valAx>
        <c:axId val="786405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054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'Linear Regression Forecasting'!$C$123</c:f>
              <c:strCache>
                <c:ptCount val="1"/>
                <c:pt idx="0">
                  <c:v>FOREX (RMB/RM)</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'Linear Regression Forecasting'!$B$124:$B$135</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'Linear Regression Forecasting'!$C$124:$C$135</c:f>
              <c:numCache>
                <c:formatCode>General</c:formatCode>
                <c:ptCount val="12"/>
                <c:pt idx="0">
                  <c:v>1.7</c:v>
                </c:pt>
                <c:pt idx="1">
                  <c:v>1.78</c:v>
                </c:pt>
                <c:pt idx="2">
                  <c:v>1.8</c:v>
                </c:pt>
                <c:pt idx="3">
                  <c:v>1.81</c:v>
                </c:pt>
                <c:pt idx="4">
                  <c:v>1.78</c:v>
                </c:pt>
                <c:pt idx="5">
                  <c:v>1.7</c:v>
                </c:pt>
                <c:pt idx="6">
                  <c:v>1.6</c:v>
                </c:pt>
                <c:pt idx="7">
                  <c:v>1.53</c:v>
                </c:pt>
                <c:pt idx="8">
                  <c:v>1.5</c:v>
                </c:pt>
                <c:pt idx="9">
                  <c:v>1.48</c:v>
                </c:pt>
                <c:pt idx="10">
                  <c:v>1.46</c:v>
                </c:pt>
                <c:pt idx="11">
                  <c:v>1.45</c:v>
                </c:pt>
              </c:numCache>
            </c:numRef>
          </c:val>
          <c:smooth val="0"/>
          <c:extLst>
            <c:ext xmlns:c16="http://schemas.microsoft.com/office/drawing/2014/chart" uri="{C3380CC4-5D6E-409C-BE32-E72D297353CC}">
              <c16:uniqueId val="{00000000-1F68-45B4-AD6B-90FE4E885D18}"/>
            </c:ext>
          </c:extLst>
        </c:ser>
        <c:dLbls>
          <c:showLegendKey val="0"/>
          <c:showVal val="0"/>
          <c:showCatName val="0"/>
          <c:showSerName val="0"/>
          <c:showPercent val="0"/>
          <c:showBubbleSize val="0"/>
        </c:dLbls>
        <c:marker val="1"/>
        <c:smooth val="0"/>
        <c:axId val="790365272"/>
        <c:axId val="790365992"/>
      </c:lineChart>
      <c:dateAx>
        <c:axId val="790365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65992"/>
        <c:crosses val="autoZero"/>
        <c:auto val="1"/>
        <c:lblOffset val="100"/>
        <c:baseTimeUnit val="months"/>
      </c:dateAx>
      <c:valAx>
        <c:axId val="790365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652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'Autoregressive integrated movin'!$C$15</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'Autoregressive integrated movin'!$B$16:$B$27</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'Autoregressive integrated movin'!$C$16:$C$27</c:f>
              <c:numCache>
                <c:formatCode>"RM"#,##0</c:formatCode>
                <c:ptCount val="12"/>
                <c:pt idx="0">
                  <c:v>50000</c:v>
                </c:pt>
                <c:pt idx="1">
                  <c:v>55000</c:v>
                </c:pt>
                <c:pt idx="2">
                  <c:v>45000</c:v>
                </c:pt>
                <c:pt idx="3">
                  <c:v>60000</c:v>
                </c:pt>
                <c:pt idx="4">
                  <c:v>50000</c:v>
                </c:pt>
                <c:pt idx="5">
                  <c:v>55000</c:v>
                </c:pt>
                <c:pt idx="6">
                  <c:v>45000</c:v>
                </c:pt>
                <c:pt idx="7">
                  <c:v>60000</c:v>
                </c:pt>
                <c:pt idx="8">
                  <c:v>60000</c:v>
                </c:pt>
                <c:pt idx="9">
                  <c:v>66000</c:v>
                </c:pt>
                <c:pt idx="10">
                  <c:v>54000</c:v>
                </c:pt>
                <c:pt idx="11">
                  <c:v>72000</c:v>
                </c:pt>
              </c:numCache>
            </c:numRef>
          </c:val>
          <c:smooth val="0"/>
          <c:extLst>
            <c:ext xmlns:c16="http://schemas.microsoft.com/office/drawing/2014/chart" uri="{C3380CC4-5D6E-409C-BE32-E72D297353CC}">
              <c16:uniqueId val="{00000000-32A3-4EDE-B2F7-A1F2B130FADA}"/>
            </c:ext>
          </c:extLst>
        </c:ser>
        <c:dLbls>
          <c:showLegendKey val="0"/>
          <c:showVal val="0"/>
          <c:showCatName val="0"/>
          <c:showSerName val="0"/>
          <c:showPercent val="0"/>
          <c:showBubbleSize val="0"/>
        </c:dLbls>
        <c:marker val="1"/>
        <c:smooth val="0"/>
        <c:axId val="620456976"/>
        <c:axId val="620462736"/>
      </c:lineChart>
      <c:dateAx>
        <c:axId val="6204569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462736"/>
        <c:crosses val="autoZero"/>
        <c:auto val="1"/>
        <c:lblOffset val="100"/>
        <c:baseTimeUnit val="months"/>
      </c:dateAx>
      <c:valAx>
        <c:axId val="620462736"/>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45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'Autoregressive integrated movin'!$C$33</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'Autoregressive integrated movin'!$B$34:$B$45</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'Autoregressive integrated movin'!$C$34:$C$45</c:f>
              <c:numCache>
                <c:formatCode>"RM"#,##0</c:formatCode>
                <c:ptCount val="12"/>
                <c:pt idx="0">
                  <c:v>20000</c:v>
                </c:pt>
                <c:pt idx="1">
                  <c:v>22000</c:v>
                </c:pt>
                <c:pt idx="2">
                  <c:v>18000</c:v>
                </c:pt>
                <c:pt idx="3">
                  <c:v>25000</c:v>
                </c:pt>
                <c:pt idx="4">
                  <c:v>22000</c:v>
                </c:pt>
                <c:pt idx="5">
                  <c:v>25000</c:v>
                </c:pt>
                <c:pt idx="6">
                  <c:v>20000</c:v>
                </c:pt>
                <c:pt idx="7">
                  <c:v>28000</c:v>
                </c:pt>
                <c:pt idx="8">
                  <c:v>26611.764705882353</c:v>
                </c:pt>
                <c:pt idx="9">
                  <c:v>29752.941176470587</c:v>
                </c:pt>
                <c:pt idx="10">
                  <c:v>24070.588235294119</c:v>
                </c:pt>
                <c:pt idx="11">
                  <c:v>33564.705882352937</c:v>
                </c:pt>
              </c:numCache>
            </c:numRef>
          </c:val>
          <c:smooth val="0"/>
          <c:extLst>
            <c:ext xmlns:c16="http://schemas.microsoft.com/office/drawing/2014/chart" uri="{C3380CC4-5D6E-409C-BE32-E72D297353CC}">
              <c16:uniqueId val="{00000000-C204-4D57-98EA-D680D3877BE5}"/>
            </c:ext>
          </c:extLst>
        </c:ser>
        <c:dLbls>
          <c:showLegendKey val="0"/>
          <c:showVal val="0"/>
          <c:showCatName val="0"/>
          <c:showSerName val="0"/>
          <c:showPercent val="0"/>
          <c:showBubbleSize val="0"/>
        </c:dLbls>
        <c:marker val="1"/>
        <c:smooth val="0"/>
        <c:axId val="651805376"/>
        <c:axId val="651808616"/>
      </c:lineChart>
      <c:dateAx>
        <c:axId val="6518053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08616"/>
        <c:crosses val="autoZero"/>
        <c:auto val="1"/>
        <c:lblOffset val="100"/>
        <c:baseTimeUnit val="months"/>
      </c:dateAx>
      <c:valAx>
        <c:axId val="651808616"/>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80537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'Autoregressive integrated movin'!$C$51</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'Autoregressive integrated movin'!$B$52:$B$63</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'Autoregressive integrated movin'!$C$52:$C$63</c:f>
              <c:numCache>
                <c:formatCode>"RM"#,##0</c:formatCode>
                <c:ptCount val="12"/>
                <c:pt idx="0">
                  <c:v>5000</c:v>
                </c:pt>
                <c:pt idx="1">
                  <c:v>6000</c:v>
                </c:pt>
                <c:pt idx="2">
                  <c:v>4000</c:v>
                </c:pt>
                <c:pt idx="3">
                  <c:v>8000</c:v>
                </c:pt>
                <c:pt idx="4">
                  <c:v>9000</c:v>
                </c:pt>
                <c:pt idx="5">
                  <c:v>10000</c:v>
                </c:pt>
                <c:pt idx="6">
                  <c:v>8000</c:v>
                </c:pt>
                <c:pt idx="7">
                  <c:v>15000</c:v>
                </c:pt>
                <c:pt idx="8">
                  <c:v>10878.260869565216</c:v>
                </c:pt>
                <c:pt idx="9">
                  <c:v>12573.91304347826</c:v>
                </c:pt>
                <c:pt idx="10">
                  <c:v>9182.608695652174</c:v>
                </c:pt>
                <c:pt idx="11">
                  <c:v>17765.217391304348</c:v>
                </c:pt>
              </c:numCache>
            </c:numRef>
          </c:val>
          <c:smooth val="0"/>
          <c:extLst>
            <c:ext xmlns:c16="http://schemas.microsoft.com/office/drawing/2014/chart" uri="{C3380CC4-5D6E-409C-BE32-E72D297353CC}">
              <c16:uniqueId val="{00000000-F649-4758-A6E4-09E972C0A584}"/>
            </c:ext>
          </c:extLst>
        </c:ser>
        <c:dLbls>
          <c:showLegendKey val="0"/>
          <c:showVal val="0"/>
          <c:showCatName val="0"/>
          <c:showSerName val="0"/>
          <c:showPercent val="0"/>
          <c:showBubbleSize val="0"/>
        </c:dLbls>
        <c:marker val="1"/>
        <c:smooth val="0"/>
        <c:axId val="733198808"/>
        <c:axId val="733199888"/>
      </c:lineChart>
      <c:dateAx>
        <c:axId val="73319880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99888"/>
        <c:crosses val="autoZero"/>
        <c:auto val="1"/>
        <c:lblOffset val="100"/>
        <c:baseTimeUnit val="months"/>
      </c:dateAx>
      <c:valAx>
        <c:axId val="733199888"/>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9880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'Autoregressive integrated movin'!$C$69</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'Autoregressive integrated movin'!$B$70:$B$81</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'Autoregressive integrated movin'!$C$70:$C$81</c:f>
              <c:numCache>
                <c:formatCode>[$USD]\ #,##0</c:formatCode>
                <c:ptCount val="12"/>
                <c:pt idx="0">
                  <c:v>15000</c:v>
                </c:pt>
                <c:pt idx="1">
                  <c:v>15500</c:v>
                </c:pt>
                <c:pt idx="2">
                  <c:v>13000</c:v>
                </c:pt>
                <c:pt idx="3">
                  <c:v>18000</c:v>
                </c:pt>
                <c:pt idx="4">
                  <c:v>16000</c:v>
                </c:pt>
                <c:pt idx="5">
                  <c:v>18000</c:v>
                </c:pt>
                <c:pt idx="6">
                  <c:v>15000</c:v>
                </c:pt>
                <c:pt idx="7">
                  <c:v>20000</c:v>
                </c:pt>
                <c:pt idx="8">
                  <c:v>19697.560975609758</c:v>
                </c:pt>
                <c:pt idx="9">
                  <c:v>21234.146341463413</c:v>
                </c:pt>
                <c:pt idx="10">
                  <c:v>17751.219512195123</c:v>
                </c:pt>
                <c:pt idx="11">
                  <c:v>24117.073170731706</c:v>
                </c:pt>
              </c:numCache>
            </c:numRef>
          </c:val>
          <c:smooth val="0"/>
          <c:extLst>
            <c:ext xmlns:c16="http://schemas.microsoft.com/office/drawing/2014/chart" uri="{C3380CC4-5D6E-409C-BE32-E72D297353CC}">
              <c16:uniqueId val="{00000000-5F3E-41A4-804A-524E8C6E7D5B}"/>
            </c:ext>
          </c:extLst>
        </c:ser>
        <c:dLbls>
          <c:showLegendKey val="0"/>
          <c:showVal val="0"/>
          <c:showCatName val="0"/>
          <c:showSerName val="0"/>
          <c:showPercent val="0"/>
          <c:showBubbleSize val="0"/>
        </c:dLbls>
        <c:marker val="1"/>
        <c:smooth val="0"/>
        <c:axId val="739872768"/>
        <c:axId val="739873128"/>
      </c:lineChart>
      <c:dateAx>
        <c:axId val="7398727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73128"/>
        <c:crosses val="autoZero"/>
        <c:auto val="1"/>
        <c:lblOffset val="100"/>
        <c:baseTimeUnit val="months"/>
      </c:dateAx>
      <c:valAx>
        <c:axId val="739873128"/>
        <c:scaling>
          <c:orientation val="minMax"/>
        </c:scaling>
        <c:delete val="0"/>
        <c:axPos val="l"/>
        <c:majorGridlines>
          <c:spPr>
            <a:ln w="9525" cap="flat" cmpd="sng" algn="ctr">
              <a:solidFill>
                <a:schemeClr val="tx1">
                  <a:lumMod val="15000"/>
                  <a:lumOff val="85000"/>
                </a:schemeClr>
              </a:solidFill>
              <a:round/>
            </a:ln>
            <a:effectLst/>
          </c:spPr>
        </c:majorGridlines>
        <c:numFmt formatCode="[$USD]\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7276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'Autoregressive integrated movin'!$C$87</c:f>
              <c:strCache>
                <c:ptCount val="1"/>
                <c:pt idx="0">
                  <c:v>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'Autoregressive integrated movin'!$B$88:$B$99</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'Autoregressive integrated movin'!$C$88:$C$99</c:f>
              <c:numCache>
                <c:formatCode>[$¥-804]#,##0</c:formatCode>
                <c:ptCount val="12"/>
                <c:pt idx="0">
                  <c:v>200000</c:v>
                </c:pt>
                <c:pt idx="1">
                  <c:v>180000</c:v>
                </c:pt>
                <c:pt idx="2">
                  <c:v>215000</c:v>
                </c:pt>
                <c:pt idx="3">
                  <c:v>220000</c:v>
                </c:pt>
                <c:pt idx="4">
                  <c:v>250000</c:v>
                </c:pt>
                <c:pt idx="5">
                  <c:v>260000</c:v>
                </c:pt>
                <c:pt idx="6">
                  <c:v>210000</c:v>
                </c:pt>
                <c:pt idx="7">
                  <c:v>260000</c:v>
                </c:pt>
                <c:pt idx="8">
                  <c:v>294294.47852760734</c:v>
                </c:pt>
                <c:pt idx="9">
                  <c:v>285865.03067484661</c:v>
                </c:pt>
                <c:pt idx="10">
                  <c:v>281116.56441717787</c:v>
                </c:pt>
                <c:pt idx="11">
                  <c:v>314723.92638036812</c:v>
                </c:pt>
              </c:numCache>
            </c:numRef>
          </c:val>
          <c:smooth val="0"/>
          <c:extLst>
            <c:ext xmlns:c16="http://schemas.microsoft.com/office/drawing/2014/chart" uri="{C3380CC4-5D6E-409C-BE32-E72D297353CC}">
              <c16:uniqueId val="{00000000-F65C-4A73-A586-948C694ED791}"/>
            </c:ext>
          </c:extLst>
        </c:ser>
        <c:dLbls>
          <c:showLegendKey val="0"/>
          <c:showVal val="0"/>
          <c:showCatName val="0"/>
          <c:showSerName val="0"/>
          <c:showPercent val="0"/>
          <c:showBubbleSize val="0"/>
        </c:dLbls>
        <c:marker val="1"/>
        <c:smooth val="0"/>
        <c:axId val="788202472"/>
        <c:axId val="788206792"/>
      </c:lineChart>
      <c:dateAx>
        <c:axId val="7882024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06792"/>
        <c:crosses val="autoZero"/>
        <c:auto val="1"/>
        <c:lblOffset val="100"/>
        <c:baseTimeUnit val="months"/>
      </c:dateAx>
      <c:valAx>
        <c:axId val="788206792"/>
        <c:scaling>
          <c:orientation val="minMax"/>
        </c:scaling>
        <c:delete val="0"/>
        <c:axPos val="l"/>
        <c:majorGridlines>
          <c:spPr>
            <a:ln w="9525" cap="flat" cmpd="sng" algn="ctr">
              <a:solidFill>
                <a:schemeClr val="tx1">
                  <a:lumMod val="15000"/>
                  <a:lumOff val="85000"/>
                </a:schemeClr>
              </a:solidFill>
              <a:round/>
            </a:ln>
            <a:effectLst/>
          </c:spPr>
        </c:majorGridlines>
        <c:numFmt formatCode="[$¥-804]#,##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024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'Autoregressive integrated movin'!$C$105</c:f>
              <c:strCache>
                <c:ptCount val="1"/>
                <c:pt idx="0">
                  <c:v>FOREX (RM/USD)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'Autoregressive integrated movin'!$B$106:$B$117</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'Autoregressive integrated movin'!$C$106:$C$117</c:f>
              <c:numCache>
                <c:formatCode>General</c:formatCode>
                <c:ptCount val="12"/>
                <c:pt idx="0">
                  <c:v>4.8</c:v>
                </c:pt>
                <c:pt idx="1">
                  <c:v>4.8499999999999996</c:v>
                </c:pt>
                <c:pt idx="2">
                  <c:v>4.8</c:v>
                </c:pt>
                <c:pt idx="3">
                  <c:v>4.75</c:v>
                </c:pt>
                <c:pt idx="4">
                  <c:v>4.7</c:v>
                </c:pt>
                <c:pt idx="5">
                  <c:v>4.68</c:v>
                </c:pt>
                <c:pt idx="6">
                  <c:v>4.5999999999999996</c:v>
                </c:pt>
                <c:pt idx="7">
                  <c:v>4.59</c:v>
                </c:pt>
                <c:pt idx="8">
                  <c:v>4.5</c:v>
                </c:pt>
                <c:pt idx="9">
                  <c:v>4.5</c:v>
                </c:pt>
                <c:pt idx="10">
                  <c:v>4.5</c:v>
                </c:pt>
                <c:pt idx="11">
                  <c:v>4.5</c:v>
                </c:pt>
              </c:numCache>
            </c:numRef>
          </c:val>
          <c:smooth val="0"/>
          <c:extLst>
            <c:ext xmlns:c16="http://schemas.microsoft.com/office/drawing/2014/chart" uri="{C3380CC4-5D6E-409C-BE32-E72D297353CC}">
              <c16:uniqueId val="{00000000-040C-4F14-B5A9-79D6E8CE0FB0}"/>
            </c:ext>
          </c:extLst>
        </c:ser>
        <c:dLbls>
          <c:showLegendKey val="0"/>
          <c:showVal val="0"/>
          <c:showCatName val="0"/>
          <c:showSerName val="0"/>
          <c:showPercent val="0"/>
          <c:showBubbleSize val="0"/>
        </c:dLbls>
        <c:marker val="1"/>
        <c:smooth val="0"/>
        <c:axId val="786405400"/>
        <c:axId val="786405760"/>
      </c:lineChart>
      <c:dateAx>
        <c:axId val="78640540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05760"/>
        <c:crosses val="autoZero"/>
        <c:auto val="1"/>
        <c:lblOffset val="100"/>
        <c:baseTimeUnit val="months"/>
      </c:dateAx>
      <c:valAx>
        <c:axId val="786405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4054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'Autoregressive integrated movin'!$C$123</c:f>
              <c:strCache>
                <c:ptCount val="1"/>
                <c:pt idx="0">
                  <c:v>FOREX (RMB/RM)</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'Autoregressive integrated movin'!$B$124:$B$135</c:f>
              <c:numCache>
                <c:formatCode>m/d/yyyy</c:formatCode>
                <c:ptCount val="12"/>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numCache>
            </c:numRef>
          </c:cat>
          <c:val>
            <c:numRef>
              <c:f>'Autoregressive integrated movin'!$C$124:$C$135</c:f>
              <c:numCache>
                <c:formatCode>General</c:formatCode>
                <c:ptCount val="12"/>
                <c:pt idx="0">
                  <c:v>1.7</c:v>
                </c:pt>
                <c:pt idx="1">
                  <c:v>1.78</c:v>
                </c:pt>
                <c:pt idx="2">
                  <c:v>1.8</c:v>
                </c:pt>
                <c:pt idx="3">
                  <c:v>1.81</c:v>
                </c:pt>
                <c:pt idx="4">
                  <c:v>1.78</c:v>
                </c:pt>
                <c:pt idx="5">
                  <c:v>1.7</c:v>
                </c:pt>
                <c:pt idx="6">
                  <c:v>1.6</c:v>
                </c:pt>
                <c:pt idx="7">
                  <c:v>1.53</c:v>
                </c:pt>
                <c:pt idx="8">
                  <c:v>1.5</c:v>
                </c:pt>
                <c:pt idx="9">
                  <c:v>1.48</c:v>
                </c:pt>
                <c:pt idx="10">
                  <c:v>1.46</c:v>
                </c:pt>
                <c:pt idx="11">
                  <c:v>1.45</c:v>
                </c:pt>
              </c:numCache>
            </c:numRef>
          </c:val>
          <c:smooth val="0"/>
          <c:extLst>
            <c:ext xmlns:c16="http://schemas.microsoft.com/office/drawing/2014/chart" uri="{C3380CC4-5D6E-409C-BE32-E72D297353CC}">
              <c16:uniqueId val="{00000000-2567-4293-B85E-F3C88E55659E}"/>
            </c:ext>
          </c:extLst>
        </c:ser>
        <c:dLbls>
          <c:showLegendKey val="0"/>
          <c:showVal val="0"/>
          <c:showCatName val="0"/>
          <c:showSerName val="0"/>
          <c:showPercent val="0"/>
          <c:showBubbleSize val="0"/>
        </c:dLbls>
        <c:marker val="1"/>
        <c:smooth val="0"/>
        <c:axId val="790365272"/>
        <c:axId val="790365992"/>
      </c:lineChart>
      <c:dateAx>
        <c:axId val="790365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65992"/>
        <c:crosses val="autoZero"/>
        <c:auto val="1"/>
        <c:lblOffset val="100"/>
        <c:baseTimeUnit val="months"/>
      </c:dateAx>
      <c:valAx>
        <c:axId val="790365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652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'Project-A'!$B$1</c:f>
              <c:strCache>
                <c:ptCount val="1"/>
                <c:pt idx="0">
                  <c:v>Sales</c:v>
                </c:pt>
              </c:strCache>
            </c:strRef>
          </c:tx>
          <c:spPr>
            <a:ln w="28575" cap="rnd">
              <a:solidFill>
                <a:schemeClr val="accent1"/>
              </a:solidFill>
              <a:round/>
            </a:ln>
            <a:effectLst/>
          </c:spPr>
          <c:marker>
            <c:symbol val="none"/>
          </c:marker>
          <c:val>
            <c:numRef>
              <c:f>'Project-A'!$B$2:$B$16</c:f>
              <c:numCache>
                <c:formatCode>"RM"#,##0</c:formatCode>
                <c:ptCount val="15"/>
                <c:pt idx="0">
                  <c:v>50000</c:v>
                </c:pt>
                <c:pt idx="1">
                  <c:v>55000</c:v>
                </c:pt>
                <c:pt idx="2">
                  <c:v>45000</c:v>
                </c:pt>
                <c:pt idx="3">
                  <c:v>60000</c:v>
                </c:pt>
                <c:pt idx="4">
                  <c:v>50000</c:v>
                </c:pt>
                <c:pt idx="5">
                  <c:v>55000</c:v>
                </c:pt>
                <c:pt idx="6">
                  <c:v>45000</c:v>
                </c:pt>
                <c:pt idx="7">
                  <c:v>60000</c:v>
                </c:pt>
                <c:pt idx="8">
                  <c:v>60000</c:v>
                </c:pt>
                <c:pt idx="9">
                  <c:v>66000</c:v>
                </c:pt>
                <c:pt idx="10">
                  <c:v>54000</c:v>
                </c:pt>
                <c:pt idx="11">
                  <c:v>72000</c:v>
                </c:pt>
              </c:numCache>
            </c:numRef>
          </c:val>
          <c:smooth val="0"/>
          <c:extLst>
            <c:ext xmlns:c16="http://schemas.microsoft.com/office/drawing/2014/chart" uri="{C3380CC4-5D6E-409C-BE32-E72D297353CC}">
              <c16:uniqueId val="{00000000-F469-432C-A213-FB4840919302}"/>
            </c:ext>
          </c:extLst>
        </c:ser>
        <c:ser>
          <c:idx val="1"/>
          <c:order val="1"/>
          <c:tx>
            <c:strRef>
              <c:f>'Project-A'!$C$1</c:f>
              <c:strCache>
                <c:ptCount val="1"/>
                <c:pt idx="0">
                  <c:v>Forecast(Sales)</c:v>
                </c:pt>
              </c:strCache>
            </c:strRef>
          </c:tx>
          <c:spPr>
            <a:ln w="25400" cap="rnd">
              <a:solidFill>
                <a:schemeClr val="accent2"/>
              </a:solidFill>
              <a:round/>
            </a:ln>
            <a:effectLst/>
          </c:spPr>
          <c:marker>
            <c:symbol val="none"/>
          </c:marker>
          <c:cat>
            <c:numRef>
              <c:f>'Project-A'!$A$2:$A$16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'Project-A'!$C$2:$C$16</c:f>
              <c:numCache>
                <c:formatCode>General</c:formatCode>
                <c:ptCount val="15"/>
                <c:pt idx="10" formatCode="&quot;RM&quot;#,##0">
                  <c:v>54000</c:v>
                </c:pt>
                <c:pt idx="11" formatCode="&quot;RM&quot;#,##0">
                  <c:v>65089.855965599658</c:v>
                </c:pt>
                <c:pt idx="12" formatCode="&quot;RM&quot;#,##0">
                  <c:v>58506.015362384955</c:v>
                </c:pt>
                <c:pt idx="13" formatCode="&quot;RM&quot;#,##0">
                  <c:v>66938.847732238864</c:v>
                </c:pt>
                <c:pt idx="14" formatCode="&quot;RM&quot;#,##0">
                  <c:v>60355.007129024169</c:v>
                </c:pt>
              </c:numCache>
            </c:numRef>
          </c:val>
          <c:smooth val="0"/>
          <c:extLst>
            <c:ext xmlns:c16="http://schemas.microsoft.com/office/drawing/2014/chart" uri="{C3380CC4-5D6E-409C-BE32-E72D297353CC}">
              <c16:uniqueId val="{00000001-F469-432C-A213-FB4840919302}"/>
            </c:ext>
          </c:extLst>
        </c:ser>
        <c:ser>
          <c:idx val="2"/>
          <c:order val="2"/>
          <c:tx>
            <c:strRef>
              <c:f>'Project-A'!$D$1</c:f>
              <c:strCache>
                <c:ptCount val="1"/>
                <c:pt idx="0">
                  <c:v>Lower Confidence Bound(Sales)</c:v>
                </c:pt>
              </c:strCache>
            </c:strRef>
          </c:tx>
          <c:spPr>
            <a:ln w="12700" cap="rnd">
              <a:solidFill>
                <a:srgbClr val="ED7D31"/>
              </a:solidFill>
              <a:prstDash val="solid"/>
              <a:round/>
            </a:ln>
            <a:effectLst/>
          </c:spPr>
          <c:marker>
            <c:symbol val="none"/>
          </c:marker>
          <c:cat>
            <c:numRef>
              <c:f>'Project-A'!$A$2:$A$16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'Project-A'!$D$2:$D$16</c:f>
              <c:numCache>
                <c:formatCode>General</c:formatCode>
                <c:ptCount val="15"/>
                <c:pt idx="10" formatCode="&quot;RM&quot;#,##0">
                  <c:v>54000</c:v>
                </c:pt>
                <c:pt idx="11" formatCode="&quot;RM&quot;#,##0">
                  <c:v>56378.886079920092</c:v>
                </c:pt>
                <c:pt idx="12" formatCode="&quot;RM&quot;#,##0">
                  <c:v>49725.076862467489</c:v>
                </c:pt>
                <c:pt idx="13" formatCode="&quot;RM&quot;#,##0">
                  <c:v>58086.299138778326</c:v>
                </c:pt>
                <c:pt idx="14" formatCode="&quot;RM&quot;#,##0">
                  <c:v>51431.423081130211</c:v>
                </c:pt>
              </c:numCache>
            </c:numRef>
          </c:val>
          <c:smooth val="0"/>
          <c:extLst>
            <c:ext xmlns:c16="http://schemas.microsoft.com/office/drawing/2014/chart" uri="{C3380CC4-5D6E-409C-BE32-E72D297353CC}">
              <c16:uniqueId val="{00000002-F469-432C-A213-FB4840919302}"/>
            </c:ext>
          </c:extLst>
        </c:ser>
        <c:ser>
          <c:idx val="3"/>
          <c:order val="3"/>
          <c:tx>
            <c:strRef>
              <c:f>'Project-A'!$E$1</c:f>
              <c:strCache>
                <c:ptCount val="1"/>
                <c:pt idx="0">
                  <c:v>Upper Confidence Bound(Sales)</c:v>
                </c:pt>
              </c:strCache>
            </c:strRef>
          </c:tx>
          <c:spPr>
            <a:ln w="12700" cap="rnd">
              <a:solidFill>
                <a:srgbClr val="ED7D31"/>
              </a:solidFill>
              <a:prstDash val="solid"/>
              <a:round/>
            </a:ln>
            <a:effectLst/>
          </c:spPr>
          <c:marker>
            <c:symbol val="none"/>
          </c:marker>
          <c:cat>
            <c:numRef>
              <c:f>'Project-A'!$A$2:$A$16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'Project-A'!$E$2:$E$16</c:f>
              <c:numCache>
                <c:formatCode>General</c:formatCode>
                <c:ptCount val="15"/>
                <c:pt idx="10" formatCode="&quot;RM&quot;#,##0">
                  <c:v>54000</c:v>
                </c:pt>
                <c:pt idx="11" formatCode="&quot;RM&quot;#,##0">
                  <c:v>73800.825851279224</c:v>
                </c:pt>
                <c:pt idx="12" formatCode="&quot;RM&quot;#,##0">
                  <c:v>67286.953862302427</c:v>
                </c:pt>
                <c:pt idx="13" formatCode="&quot;RM&quot;#,##0">
                  <c:v>75791.396325699403</c:v>
                </c:pt>
                <c:pt idx="14" formatCode="&quot;RM&quot;#,##0">
                  <c:v>69278.591176918126</c:v>
                </c:pt>
              </c:numCache>
            </c:numRef>
          </c:val>
          <c:smooth val="0"/>
          <c:extLst>
            <c:ext xmlns:c16="http://schemas.microsoft.com/office/drawing/2014/chart" uri="{C3380CC4-5D6E-409C-BE32-E72D297353CC}">
              <c16:uniqueId val="{00000003-F469-432C-A213-FB4840919302}"/>
            </c:ext>
          </c:extLst>
        </c:ser>
        <c:dLbls>
          <c:showLegendKey val="0"/>
          <c:showVal val="0"/>
          <c:showCatName val="0"/>
          <c:showSerName val="0"/>
          <c:showPercent val="0"/>
          <c:showBubbleSize val="0"/>
        </c:dLbls>
        <c:smooth val="0"/>
        <c:axId val="563085032"/>
        <c:axId val="563086472"/>
      </c:lineChart>
      <c:catAx>
        <c:axId val="56308503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86472"/>
        <c:crosses val="autoZero"/>
        <c:auto val="1"/>
        <c:lblAlgn val="ctr"/>
        <c:lblOffset val="100"/>
        <c:noMultiLvlLbl val="0"/>
      </c:catAx>
      <c:valAx>
        <c:axId val="563086472"/>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85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'Project-B'!$B$1</c:f>
              <c:strCache>
                <c:ptCount val="1"/>
                <c:pt idx="0">
                  <c:v>Sales</c:v>
                </c:pt>
              </c:strCache>
            </c:strRef>
          </c:tx>
          <c:spPr>
            <a:ln w="28575" cap="rnd">
              <a:solidFill>
                <a:schemeClr val="accent1"/>
              </a:solidFill>
              <a:round/>
            </a:ln>
            <a:effectLst/>
          </c:spPr>
          <c:marker>
            <c:symbol val="none"/>
          </c:marker>
          <c:val>
            <c:numRef>
              <c:f>'Project-B'!$B$2:$B$16</c:f>
              <c:numCache>
                <c:formatCode>"RM"#,##0</c:formatCode>
                <c:ptCount val="15"/>
                <c:pt idx="0">
                  <c:v>20000</c:v>
                </c:pt>
                <c:pt idx="1">
                  <c:v>22000</c:v>
                </c:pt>
                <c:pt idx="2">
                  <c:v>18000</c:v>
                </c:pt>
                <c:pt idx="3">
                  <c:v>25000</c:v>
                </c:pt>
                <c:pt idx="4">
                  <c:v>22000</c:v>
                </c:pt>
                <c:pt idx="5">
                  <c:v>25000</c:v>
                </c:pt>
                <c:pt idx="6">
                  <c:v>20000</c:v>
                </c:pt>
                <c:pt idx="7">
                  <c:v>28000</c:v>
                </c:pt>
                <c:pt idx="8">
                  <c:v>26611.764705882353</c:v>
                </c:pt>
                <c:pt idx="9">
                  <c:v>29752.941176470587</c:v>
                </c:pt>
                <c:pt idx="10">
                  <c:v>24070.588235294119</c:v>
                </c:pt>
                <c:pt idx="11">
                  <c:v>33564.705882352937</c:v>
                </c:pt>
              </c:numCache>
            </c:numRef>
          </c:val>
          <c:smooth val="0"/>
          <c:extLst>
            <c:ext xmlns:c16="http://schemas.microsoft.com/office/drawing/2014/chart" uri="{C3380CC4-5D6E-409C-BE32-E72D297353CC}">
              <c16:uniqueId val="{00000000-A096-47C7-9C7B-078EDDC81CF9}"/>
            </c:ext>
          </c:extLst>
        </c:ser>
        <c:ser>
          <c:idx val="1"/>
          <c:order val="1"/>
          <c:tx>
            <c:strRef>
              <c:f>'Project-B'!$C$1</c:f>
              <c:strCache>
                <c:ptCount val="1"/>
                <c:pt idx="0">
                  <c:v>Forecast(Sales)</c:v>
                </c:pt>
              </c:strCache>
            </c:strRef>
          </c:tx>
          <c:spPr>
            <a:ln w="25400" cap="rnd">
              <a:solidFill>
                <a:schemeClr val="accent2"/>
              </a:solidFill>
              <a:round/>
            </a:ln>
            <a:effectLst/>
          </c:spPr>
          <c:marker>
            <c:symbol val="none"/>
          </c:marker>
          <c:cat>
            <c:numRef>
              <c:f>'Project-B'!$A$2:$A$16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'Project-B'!$C$2:$C$16</c:f>
              <c:numCache>
                <c:formatCode>General</c:formatCode>
                <c:ptCount val="15"/>
                <c:pt idx="10" formatCode="&quot;RM&quot;#,##0">
                  <c:v>24070.588235294119</c:v>
                </c:pt>
                <c:pt idx="11" formatCode="&quot;RM&quot;#,##0">
                  <c:v>30199.328694585576</c:v>
                </c:pt>
                <c:pt idx="12" formatCode="&quot;RM&quot;#,##0">
                  <c:v>27640.022785260568</c:v>
                </c:pt>
                <c:pt idx="13" formatCode="&quot;RM&quot;#,##0">
                  <c:v>31657.681026115766</c:v>
                </c:pt>
                <c:pt idx="14" formatCode="&quot;RM&quot;#,##0">
                  <c:v>29098.375116790758</c:v>
                </c:pt>
              </c:numCache>
            </c:numRef>
          </c:val>
          <c:smooth val="0"/>
          <c:extLst>
            <c:ext xmlns:c16="http://schemas.microsoft.com/office/drawing/2014/chart" uri="{C3380CC4-5D6E-409C-BE32-E72D297353CC}">
              <c16:uniqueId val="{00000001-A096-47C7-9C7B-078EDDC81CF9}"/>
            </c:ext>
          </c:extLst>
        </c:ser>
        <c:ser>
          <c:idx val="2"/>
          <c:order val="2"/>
          <c:tx>
            <c:strRef>
              <c:f>'Project-B'!$D$1</c:f>
              <c:strCache>
                <c:ptCount val="1"/>
                <c:pt idx="0">
                  <c:v>Lower Confidence Bound(Sales)</c:v>
                </c:pt>
              </c:strCache>
            </c:strRef>
          </c:tx>
          <c:spPr>
            <a:ln w="12700" cap="rnd">
              <a:solidFill>
                <a:srgbClr val="ED7D31"/>
              </a:solidFill>
              <a:prstDash val="solid"/>
              <a:round/>
            </a:ln>
            <a:effectLst/>
          </c:spPr>
          <c:marker>
            <c:symbol val="none"/>
          </c:marker>
          <c:cat>
            <c:numRef>
              <c:f>'Project-B'!$A$2:$A$16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'Project-B'!$D$2:$D$16</c:f>
              <c:numCache>
                <c:formatCode>General</c:formatCode>
                <c:ptCount val="15"/>
                <c:pt idx="10" formatCode="&quot;RM&quot;#,##0">
                  <c:v>24070.588235294119</c:v>
                </c:pt>
                <c:pt idx="11" formatCode="&quot;RM&quot;#,##0">
                  <c:v>26465.844089602884</c:v>
                </c:pt>
                <c:pt idx="12" formatCode="&quot;RM&quot;#,##0">
                  <c:v>23876.549930115445</c:v>
                </c:pt>
                <c:pt idx="13" formatCode="&quot;RM&quot;#,##0">
                  <c:v>27863.516389766814</c:v>
                </c:pt>
                <c:pt idx="14" formatCode="&quot;RM&quot;#,##0">
                  <c:v>25273.764987113776</c:v>
                </c:pt>
              </c:numCache>
            </c:numRef>
          </c:val>
          <c:smooth val="0"/>
          <c:extLst>
            <c:ext xmlns:c16="http://schemas.microsoft.com/office/drawing/2014/chart" uri="{C3380CC4-5D6E-409C-BE32-E72D297353CC}">
              <c16:uniqueId val="{00000002-A096-47C7-9C7B-078EDDC81CF9}"/>
            </c:ext>
          </c:extLst>
        </c:ser>
        <c:ser>
          <c:idx val="3"/>
          <c:order val="3"/>
          <c:tx>
            <c:strRef>
              <c:f>'Project-B'!$E$1</c:f>
              <c:strCache>
                <c:ptCount val="1"/>
                <c:pt idx="0">
                  <c:v>Upper Confidence Bound(Sales)</c:v>
                </c:pt>
              </c:strCache>
            </c:strRef>
          </c:tx>
          <c:spPr>
            <a:ln w="12700" cap="rnd">
              <a:solidFill>
                <a:srgbClr val="ED7D31"/>
              </a:solidFill>
              <a:prstDash val="solid"/>
              <a:round/>
            </a:ln>
            <a:effectLst/>
          </c:spPr>
          <c:marker>
            <c:symbol val="none"/>
          </c:marker>
          <c:cat>
            <c:numRef>
              <c:f>'Project-B'!$A$2:$A$16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'Project-B'!$E$2:$E$16</c:f>
              <c:numCache>
                <c:formatCode>General</c:formatCode>
                <c:ptCount val="15"/>
                <c:pt idx="10" formatCode="&quot;RM&quot;#,##0">
                  <c:v>24070.588235294119</c:v>
                </c:pt>
                <c:pt idx="11" formatCode="&quot;RM&quot;#,##0">
                  <c:v>33932.813299568268</c:v>
                </c:pt>
                <c:pt idx="12" formatCode="&quot;RM&quot;#,##0">
                  <c:v>31403.49564040569</c:v>
                </c:pt>
                <c:pt idx="13" formatCode="&quot;RM&quot;#,##0">
                  <c:v>35451.845662464722</c:v>
                </c:pt>
                <c:pt idx="14" formatCode="&quot;RM&quot;#,##0">
                  <c:v>32922.985246467739</c:v>
                </c:pt>
              </c:numCache>
            </c:numRef>
          </c:val>
          <c:smooth val="0"/>
          <c:extLst>
            <c:ext xmlns:c16="http://schemas.microsoft.com/office/drawing/2014/chart" uri="{C3380CC4-5D6E-409C-BE32-E72D297353CC}">
              <c16:uniqueId val="{00000003-A096-47C7-9C7B-078EDDC81CF9}"/>
            </c:ext>
          </c:extLst>
        </c:ser>
        <c:dLbls>
          <c:showLegendKey val="0"/>
          <c:showVal val="0"/>
          <c:showCatName val="0"/>
          <c:showSerName val="0"/>
          <c:showPercent val="0"/>
          <c:showBubbleSize val="0"/>
        </c:dLbls>
        <c:smooth val="0"/>
        <c:axId val="563097992"/>
        <c:axId val="563098352"/>
      </c:lineChart>
      <c:catAx>
        <c:axId val="56309799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98352"/>
        <c:crosses val="autoZero"/>
        <c:auto val="1"/>
        <c:lblAlgn val="ctr"/>
        <c:lblOffset val="100"/>
        <c:noMultiLvlLbl val="0"/>
      </c:catAx>
      <c:valAx>
        <c:axId val="563098352"/>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97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'Project-C'!$B$1</c:f>
              <c:strCache>
                <c:ptCount val="1"/>
                <c:pt idx="0">
                  <c:v>Values</c:v>
                </c:pt>
              </c:strCache>
            </c:strRef>
          </c:tx>
          <c:spPr>
            <a:ln w="28575" cap="rnd">
              <a:solidFill>
                <a:schemeClr val="accent1"/>
              </a:solidFill>
              <a:round/>
            </a:ln>
            <a:effectLst/>
          </c:spPr>
          <c:marker>
            <c:symbol val="none"/>
          </c:marker>
          <c:val>
            <c:numRef>
              <c:f>'Project-C'!$B$2:$B$16</c:f>
              <c:numCache>
                <c:formatCode>"RM"#,##0</c:formatCode>
                <c:ptCount val="15"/>
                <c:pt idx="0">
                  <c:v>5000</c:v>
                </c:pt>
                <c:pt idx="1">
                  <c:v>6000</c:v>
                </c:pt>
                <c:pt idx="2">
                  <c:v>4000</c:v>
                </c:pt>
                <c:pt idx="3">
                  <c:v>8000</c:v>
                </c:pt>
                <c:pt idx="4">
                  <c:v>9000</c:v>
                </c:pt>
                <c:pt idx="5">
                  <c:v>10000</c:v>
                </c:pt>
                <c:pt idx="6">
                  <c:v>8000</c:v>
                </c:pt>
                <c:pt idx="7">
                  <c:v>15000</c:v>
                </c:pt>
                <c:pt idx="8">
                  <c:v>10878.260869565216</c:v>
                </c:pt>
                <c:pt idx="9">
                  <c:v>12573.91304347826</c:v>
                </c:pt>
                <c:pt idx="10">
                  <c:v>9182.608695652174</c:v>
                </c:pt>
                <c:pt idx="11">
                  <c:v>17765.217391304348</c:v>
                </c:pt>
              </c:numCache>
            </c:numRef>
          </c:val>
          <c:smooth val="0"/>
          <c:extLst>
            <c:ext xmlns:c16="http://schemas.microsoft.com/office/drawing/2014/chart" uri="{C3380CC4-5D6E-409C-BE32-E72D297353CC}">
              <c16:uniqueId val="{00000000-0C1A-46E2-A502-E9407CCA1E61}"/>
            </c:ext>
          </c:extLst>
        </c:ser>
        <c:ser>
          <c:idx val="1"/>
          <c:order val="1"/>
          <c:tx>
            <c:strRef>
              <c:f>'Project-C'!$C$1</c:f>
              <c:strCache>
                <c:ptCount val="1"/>
                <c:pt idx="0">
                  <c:v>Forecast</c:v>
                </c:pt>
              </c:strCache>
            </c:strRef>
          </c:tx>
          <c:spPr>
            <a:ln w="25400" cap="rnd">
              <a:solidFill>
                <a:schemeClr val="accent2"/>
              </a:solidFill>
              <a:round/>
            </a:ln>
            <a:effectLst/>
          </c:spPr>
          <c:marker>
            <c:symbol val="none"/>
          </c:marker>
          <c:cat>
            <c:numRef>
              <c:f>'Project-C'!$A$2:$A$16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'Project-C'!$C$2:$C$16</c:f>
              <c:numCache>
                <c:formatCode>General</c:formatCode>
                <c:ptCount val="15"/>
                <c:pt idx="10" formatCode="&quot;RM&quot;#,##0">
                  <c:v>9182.608695652174</c:v>
                </c:pt>
                <c:pt idx="11" formatCode="&quot;RM&quot;#,##0">
                  <c:v>13102.050486907245</c:v>
                </c:pt>
                <c:pt idx="12" formatCode="&quot;RM&quot;#,##0">
                  <c:v>13839.178216365926</c:v>
                </c:pt>
                <c:pt idx="13" formatCode="&quot;RM&quot;#,##0">
                  <c:v>14576.305945824613</c:v>
                </c:pt>
                <c:pt idx="14" formatCode="&quot;RM&quot;#,##0">
                  <c:v>15313.433675283295</c:v>
                </c:pt>
              </c:numCache>
            </c:numRef>
          </c:val>
          <c:smooth val="0"/>
          <c:extLst>
            <c:ext xmlns:c16="http://schemas.microsoft.com/office/drawing/2014/chart" uri="{C3380CC4-5D6E-409C-BE32-E72D297353CC}">
              <c16:uniqueId val="{00000001-0C1A-46E2-A502-E9407CCA1E61}"/>
            </c:ext>
          </c:extLst>
        </c:ser>
        <c:ser>
          <c:idx val="2"/>
          <c:order val="2"/>
          <c:tx>
            <c:strRef>
              <c:f>'Project-C'!$D$1</c:f>
              <c:strCache>
                <c:ptCount val="1"/>
                <c:pt idx="0">
                  <c:v>Lower Confidence Bound</c:v>
                </c:pt>
              </c:strCache>
            </c:strRef>
          </c:tx>
          <c:spPr>
            <a:ln w="12700" cap="rnd">
              <a:solidFill>
                <a:srgbClr val="ED7D31"/>
              </a:solidFill>
              <a:prstDash val="solid"/>
              <a:round/>
            </a:ln>
            <a:effectLst/>
          </c:spPr>
          <c:marker>
            <c:symbol val="none"/>
          </c:marker>
          <c:cat>
            <c:numRef>
              <c:f>'Project-C'!$A$2:$A$16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'Project-C'!$D$2:$D$16</c:f>
              <c:numCache>
                <c:formatCode>General</c:formatCode>
                <c:ptCount val="15"/>
                <c:pt idx="10" formatCode="&quot;RM&quot;#,##0">
                  <c:v>9182.608695652174</c:v>
                </c:pt>
                <c:pt idx="11" formatCode="&quot;RM&quot;#,##0">
                  <c:v>9077.4531741567262</c:v>
                </c:pt>
                <c:pt idx="12" formatCode="&quot;RM&quot;#,##0">
                  <c:v>9814.5627929682487</c:v>
                </c:pt>
                <c:pt idx="13" formatCode="&quot;RM&quot;#,##0">
                  <c:v>10551.658325922104</c:v>
                </c:pt>
                <c:pt idx="14" formatCode="&quot;RM&quot;#,##0">
                  <c:v>11288.735748857613</c:v>
                </c:pt>
              </c:numCache>
            </c:numRef>
          </c:val>
          <c:smooth val="0"/>
          <c:extLst>
            <c:ext xmlns:c16="http://schemas.microsoft.com/office/drawing/2014/chart" uri="{C3380CC4-5D6E-409C-BE32-E72D297353CC}">
              <c16:uniqueId val="{00000002-0C1A-46E2-A502-E9407CCA1E61}"/>
            </c:ext>
          </c:extLst>
        </c:ser>
        <c:ser>
          <c:idx val="3"/>
          <c:order val="3"/>
          <c:tx>
            <c:strRef>
              <c:f>'Project-C'!$E$1</c:f>
              <c:strCache>
                <c:ptCount val="1"/>
                <c:pt idx="0">
                  <c:v>Upper Confidence Bound</c:v>
                </c:pt>
              </c:strCache>
            </c:strRef>
          </c:tx>
          <c:spPr>
            <a:ln w="12700" cap="rnd">
              <a:solidFill>
                <a:srgbClr val="ED7D31"/>
              </a:solidFill>
              <a:prstDash val="solid"/>
              <a:round/>
            </a:ln>
            <a:effectLst/>
          </c:spPr>
          <c:marker>
            <c:symbol val="none"/>
          </c:marker>
          <c:cat>
            <c:numRef>
              <c:f>'Project-C'!$A$2:$A$16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'Project-C'!$E$2:$E$16</c:f>
              <c:numCache>
                <c:formatCode>General</c:formatCode>
                <c:ptCount val="15"/>
                <c:pt idx="10" formatCode="&quot;RM&quot;#,##0">
                  <c:v>9182.608695652174</c:v>
                </c:pt>
                <c:pt idx="11" formatCode="&quot;RM&quot;#,##0">
                  <c:v>17126.647799657763</c:v>
                </c:pt>
                <c:pt idx="12" formatCode="&quot;RM&quot;#,##0">
                  <c:v>17863.793639763604</c:v>
                </c:pt>
                <c:pt idx="13" formatCode="&quot;RM&quot;#,##0">
                  <c:v>18600.953565727123</c:v>
                </c:pt>
                <c:pt idx="14" formatCode="&quot;RM&quot;#,##0">
                  <c:v>19338.131601708978</c:v>
                </c:pt>
              </c:numCache>
            </c:numRef>
          </c:val>
          <c:smooth val="0"/>
          <c:extLst>
            <c:ext xmlns:c16="http://schemas.microsoft.com/office/drawing/2014/chart" uri="{C3380CC4-5D6E-409C-BE32-E72D297353CC}">
              <c16:uniqueId val="{00000003-0C1A-46E2-A502-E9407CCA1E61}"/>
            </c:ext>
          </c:extLst>
        </c:ser>
        <c:dLbls>
          <c:showLegendKey val="0"/>
          <c:showVal val="0"/>
          <c:showCatName val="0"/>
          <c:showSerName val="0"/>
          <c:showPercent val="0"/>
          <c:showBubbleSize val="0"/>
        </c:dLbls>
        <c:smooth val="0"/>
        <c:axId val="560855080"/>
        <c:axId val="560861920"/>
      </c:lineChart>
      <c:catAx>
        <c:axId val="56085508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61920"/>
        <c:crosses val="autoZero"/>
        <c:auto val="1"/>
        <c:lblAlgn val="ctr"/>
        <c:lblOffset val="100"/>
        <c:noMultiLvlLbl val="0"/>
      </c:catAx>
      <c:valAx>
        <c:axId val="560861920"/>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55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'Project-F1'!$B$1</c:f>
              <c:strCache>
                <c:ptCount val="1"/>
                <c:pt idx="0">
                  <c:v>Sales</c:v>
                </c:pt>
              </c:strCache>
            </c:strRef>
          </c:tx>
          <c:spPr>
            <a:ln w="28575" cap="rnd">
              <a:solidFill>
                <a:schemeClr val="accent1"/>
              </a:solidFill>
              <a:round/>
            </a:ln>
            <a:effectLst/>
          </c:spPr>
          <c:marker>
            <c:symbol val="none"/>
          </c:marker>
          <c:val>
            <c:numRef>
              <c:f>'Project-F1'!$B$2:$B$16</c:f>
              <c:numCache>
                <c:formatCode>[$USD]\ #,##0</c:formatCode>
                <c:ptCount val="15"/>
                <c:pt idx="0">
                  <c:v>15000</c:v>
                </c:pt>
                <c:pt idx="1">
                  <c:v>15500</c:v>
                </c:pt>
                <c:pt idx="2">
                  <c:v>13000</c:v>
                </c:pt>
                <c:pt idx="3">
                  <c:v>18000</c:v>
                </c:pt>
                <c:pt idx="4">
                  <c:v>16000</c:v>
                </c:pt>
                <c:pt idx="5">
                  <c:v>18000</c:v>
                </c:pt>
                <c:pt idx="6">
                  <c:v>15000</c:v>
                </c:pt>
                <c:pt idx="7">
                  <c:v>20000</c:v>
                </c:pt>
                <c:pt idx="8">
                  <c:v>19697.560975609758</c:v>
                </c:pt>
                <c:pt idx="9">
                  <c:v>21234.146341463413</c:v>
                </c:pt>
                <c:pt idx="10">
                  <c:v>17751.219512195123</c:v>
                </c:pt>
                <c:pt idx="11">
                  <c:v>24117.073170731706</c:v>
                </c:pt>
              </c:numCache>
            </c:numRef>
          </c:val>
          <c:smooth val="0"/>
          <c:extLst>
            <c:ext xmlns:c16="http://schemas.microsoft.com/office/drawing/2014/chart" uri="{C3380CC4-5D6E-409C-BE32-E72D297353CC}">
              <c16:uniqueId val="{00000000-48D9-4BE5-A8D8-A2B692F979A9}"/>
            </c:ext>
          </c:extLst>
        </c:ser>
        <c:ser>
          <c:idx val="1"/>
          <c:order val="1"/>
          <c:tx>
            <c:strRef>
              <c:f>'Project-F1'!$C$1</c:f>
              <c:strCache>
                <c:ptCount val="1"/>
                <c:pt idx="0">
                  <c:v>Forecast(Sales)</c:v>
                </c:pt>
              </c:strCache>
            </c:strRef>
          </c:tx>
          <c:spPr>
            <a:ln w="25400" cap="rnd">
              <a:solidFill>
                <a:schemeClr val="accent2"/>
              </a:solidFill>
              <a:round/>
            </a:ln>
            <a:effectLst/>
          </c:spPr>
          <c:marker>
            <c:symbol val="none"/>
          </c:marker>
          <c:cat>
            <c:numRef>
              <c:f>'Project-F1'!$A$2:$A$16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'Project-F1'!$C$2:$C$16</c:f>
              <c:numCache>
                <c:formatCode>General</c:formatCode>
                <c:ptCount val="15"/>
                <c:pt idx="10" formatCode="[$USD]\ #,##0">
                  <c:v>17751.219512195123</c:v>
                </c:pt>
                <c:pt idx="11" formatCode="[$USD]\ #,##0">
                  <c:v>21548.075657370729</c:v>
                </c:pt>
                <c:pt idx="12" formatCode="[$USD]\ #,##0">
                  <c:v>20140.302088950008</c:v>
                </c:pt>
                <c:pt idx="13" formatCode="[$USD]\ #,##0">
                  <c:v>22624.509278481659</c:v>
                </c:pt>
                <c:pt idx="14" formatCode="[$USD]\ #,##0">
                  <c:v>21216.735710060933</c:v>
                </c:pt>
              </c:numCache>
            </c:numRef>
          </c:val>
          <c:smooth val="0"/>
          <c:extLst>
            <c:ext xmlns:c16="http://schemas.microsoft.com/office/drawing/2014/chart" uri="{C3380CC4-5D6E-409C-BE32-E72D297353CC}">
              <c16:uniqueId val="{00000001-48D9-4BE5-A8D8-A2B692F979A9}"/>
            </c:ext>
          </c:extLst>
        </c:ser>
        <c:ser>
          <c:idx val="2"/>
          <c:order val="2"/>
          <c:tx>
            <c:strRef>
              <c:f>'Project-F1'!$D$1</c:f>
              <c:strCache>
                <c:ptCount val="1"/>
                <c:pt idx="0">
                  <c:v>Lower Confidence Bound(Sales)</c:v>
                </c:pt>
              </c:strCache>
            </c:strRef>
          </c:tx>
          <c:spPr>
            <a:ln w="12700" cap="rnd">
              <a:solidFill>
                <a:srgbClr val="ED7D31"/>
              </a:solidFill>
              <a:prstDash val="solid"/>
              <a:round/>
            </a:ln>
            <a:effectLst/>
          </c:spPr>
          <c:marker>
            <c:symbol val="none"/>
          </c:marker>
          <c:cat>
            <c:numRef>
              <c:f>'Project-F1'!$A$2:$A$16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'Project-F1'!$D$2:$D$16</c:f>
              <c:numCache>
                <c:formatCode>General</c:formatCode>
                <c:ptCount val="15"/>
                <c:pt idx="10" formatCode="[$USD]\ #,##0">
                  <c:v>17751.219512195123</c:v>
                </c:pt>
                <c:pt idx="11" formatCode="[$USD]\ #,##0">
                  <c:v>18702.018169310217</c:v>
                </c:pt>
                <c:pt idx="12" formatCode="[$USD]\ #,##0">
                  <c:v>17205.267443442797</c:v>
                </c:pt>
                <c:pt idx="13" formatCode="[$USD]\ #,##0">
                  <c:v>19601.760403855449</c:v>
                </c:pt>
                <c:pt idx="14" formatCode="[$USD]\ #,##0">
                  <c:v>18108.747108444062</c:v>
                </c:pt>
              </c:numCache>
            </c:numRef>
          </c:val>
          <c:smooth val="0"/>
          <c:extLst>
            <c:ext xmlns:c16="http://schemas.microsoft.com/office/drawing/2014/chart" uri="{C3380CC4-5D6E-409C-BE32-E72D297353CC}">
              <c16:uniqueId val="{00000002-48D9-4BE5-A8D8-A2B692F979A9}"/>
            </c:ext>
          </c:extLst>
        </c:ser>
        <c:ser>
          <c:idx val="3"/>
          <c:order val="3"/>
          <c:tx>
            <c:strRef>
              <c:f>'Project-F1'!$E$1</c:f>
              <c:strCache>
                <c:ptCount val="1"/>
                <c:pt idx="0">
                  <c:v>Upper Confidence Bound(Sales)</c:v>
                </c:pt>
              </c:strCache>
            </c:strRef>
          </c:tx>
          <c:spPr>
            <a:ln w="12700" cap="rnd">
              <a:solidFill>
                <a:srgbClr val="ED7D31"/>
              </a:solidFill>
              <a:prstDash val="solid"/>
              <a:round/>
            </a:ln>
            <a:effectLst/>
          </c:spPr>
          <c:marker>
            <c:symbol val="none"/>
          </c:marker>
          <c:cat>
            <c:numRef>
              <c:f>'Project-F1'!$A$2:$A$16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'Project-F1'!$E$2:$E$16</c:f>
              <c:numCache>
                <c:formatCode>General</c:formatCode>
                <c:ptCount val="15"/>
                <c:pt idx="10" formatCode="[$USD]\ #,##0">
                  <c:v>17751.219512195123</c:v>
                </c:pt>
                <c:pt idx="11" formatCode="[$USD]\ #,##0">
                  <c:v>24394.133145431242</c:v>
                </c:pt>
                <c:pt idx="12" formatCode="[$USD]\ #,##0">
                  <c:v>23075.336734457218</c:v>
                </c:pt>
                <c:pt idx="13" formatCode="[$USD]\ #,##0">
                  <c:v>25647.258153107869</c:v>
                </c:pt>
                <c:pt idx="14" formatCode="[$USD]\ #,##0">
                  <c:v>24324.724311677805</c:v>
                </c:pt>
              </c:numCache>
            </c:numRef>
          </c:val>
          <c:smooth val="0"/>
          <c:extLst>
            <c:ext xmlns:c16="http://schemas.microsoft.com/office/drawing/2014/chart" uri="{C3380CC4-5D6E-409C-BE32-E72D297353CC}">
              <c16:uniqueId val="{00000003-48D9-4BE5-A8D8-A2B692F979A9}"/>
            </c:ext>
          </c:extLst>
        </c:ser>
        <c:dLbls>
          <c:showLegendKey val="0"/>
          <c:showVal val="0"/>
          <c:showCatName val="0"/>
          <c:showSerName val="0"/>
          <c:showPercent val="0"/>
          <c:showBubbleSize val="0"/>
        </c:dLbls>
        <c:smooth val="0"/>
        <c:axId val="449157536"/>
        <c:axId val="449154296"/>
      </c:lineChart>
      <c:catAx>
        <c:axId val="44915753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154296"/>
        <c:crosses val="autoZero"/>
        <c:auto val="1"/>
        <c:lblAlgn val="ctr"/>
        <c:lblOffset val="100"/>
        <c:noMultiLvlLbl val="0"/>
      </c:catAx>
      <c:valAx>
        <c:axId val="449154296"/>
        <c:scaling>
          <c:orientation val="minMax"/>
        </c:scaling>
        <c:delete val="0"/>
        <c:axPos val="l"/>
        <c:majorGridlines>
          <c:spPr>
            <a:ln w="9525" cap="flat" cmpd="sng" algn="ctr">
              <a:solidFill>
                <a:schemeClr val="tx1">
                  <a:lumMod val="15000"/>
                  <a:lumOff val="85000"/>
                </a:schemeClr>
              </a:solidFill>
              <a:round/>
            </a:ln>
            <a:effectLst/>
          </c:spPr>
        </c:majorGridlines>
        <c:numFmt formatCode="[$USD]\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157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'Project-F2'!$B$1</c:f>
              <c:strCache>
                <c:ptCount val="1"/>
                <c:pt idx="0">
                  <c:v>Sales</c:v>
                </c:pt>
              </c:strCache>
            </c:strRef>
          </c:tx>
          <c:spPr>
            <a:ln w="28575" cap="rnd">
              <a:solidFill>
                <a:schemeClr val="accent1"/>
              </a:solidFill>
              <a:round/>
            </a:ln>
            <a:effectLst/>
          </c:spPr>
          <c:marker>
            <c:symbol val="none"/>
          </c:marker>
          <c:val>
            <c:numRef>
              <c:f>'Project-F2'!$B$2:$B$16</c:f>
              <c:numCache>
                <c:formatCode>[$¥-804]#,##0</c:formatCode>
                <c:ptCount val="15"/>
                <c:pt idx="0">
                  <c:v>200000</c:v>
                </c:pt>
                <c:pt idx="1">
                  <c:v>180000</c:v>
                </c:pt>
                <c:pt idx="2">
                  <c:v>215000</c:v>
                </c:pt>
                <c:pt idx="3">
                  <c:v>220000</c:v>
                </c:pt>
                <c:pt idx="4">
                  <c:v>250000</c:v>
                </c:pt>
                <c:pt idx="5">
                  <c:v>260000</c:v>
                </c:pt>
                <c:pt idx="6">
                  <c:v>210000</c:v>
                </c:pt>
                <c:pt idx="7">
                  <c:v>260000</c:v>
                </c:pt>
                <c:pt idx="8">
                  <c:v>294294.47852760734</c:v>
                </c:pt>
                <c:pt idx="9">
                  <c:v>285865.03067484661</c:v>
                </c:pt>
                <c:pt idx="10">
                  <c:v>281116.56441717787</c:v>
                </c:pt>
                <c:pt idx="11">
                  <c:v>314723.92638036812</c:v>
                </c:pt>
              </c:numCache>
            </c:numRef>
          </c:val>
          <c:smooth val="0"/>
          <c:extLst>
            <c:ext xmlns:c16="http://schemas.microsoft.com/office/drawing/2014/chart" uri="{C3380CC4-5D6E-409C-BE32-E72D297353CC}">
              <c16:uniqueId val="{00000000-2BCD-4A83-B9D2-34E8EC9874E5}"/>
            </c:ext>
          </c:extLst>
        </c:ser>
        <c:ser>
          <c:idx val="1"/>
          <c:order val="1"/>
          <c:tx>
            <c:strRef>
              <c:f>'Project-F2'!$C$1</c:f>
              <c:strCache>
                <c:ptCount val="1"/>
                <c:pt idx="0">
                  <c:v>Forecast(Sales)</c:v>
                </c:pt>
              </c:strCache>
            </c:strRef>
          </c:tx>
          <c:spPr>
            <a:ln w="25400" cap="rnd">
              <a:solidFill>
                <a:schemeClr val="accent2"/>
              </a:solidFill>
              <a:round/>
            </a:ln>
            <a:effectLst/>
          </c:spPr>
          <c:marker>
            <c:symbol val="none"/>
          </c:marker>
          <c:cat>
            <c:numRef>
              <c:f>'Project-F2'!$A$2:$A$16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'Project-F2'!$C$2:$C$16</c:f>
              <c:numCache>
                <c:formatCode>General</c:formatCode>
                <c:ptCount val="15"/>
                <c:pt idx="10" formatCode="[$¥-804]#,##0">
                  <c:v>281116.56441717787</c:v>
                </c:pt>
                <c:pt idx="11" formatCode="[$¥-804]#,##0">
                  <c:v>304294.95816924277</c:v>
                </c:pt>
                <c:pt idx="12" formatCode="[$¥-804]#,##0">
                  <c:v>314298.12525867834</c:v>
                </c:pt>
                <c:pt idx="13" formatCode="[$¥-804]#,##0">
                  <c:v>324301.2923481139</c:v>
                </c:pt>
                <c:pt idx="14" formatCode="[$¥-804]#,##0">
                  <c:v>334304.45943754946</c:v>
                </c:pt>
              </c:numCache>
            </c:numRef>
          </c:val>
          <c:smooth val="0"/>
          <c:extLst>
            <c:ext xmlns:c16="http://schemas.microsoft.com/office/drawing/2014/chart" uri="{C3380CC4-5D6E-409C-BE32-E72D297353CC}">
              <c16:uniqueId val="{00000001-2BCD-4A83-B9D2-34E8EC9874E5}"/>
            </c:ext>
          </c:extLst>
        </c:ser>
        <c:ser>
          <c:idx val="2"/>
          <c:order val="2"/>
          <c:tx>
            <c:strRef>
              <c:f>'Project-F2'!$D$1</c:f>
              <c:strCache>
                <c:ptCount val="1"/>
                <c:pt idx="0">
                  <c:v>Lower Confidence Bound(Sales)</c:v>
                </c:pt>
              </c:strCache>
            </c:strRef>
          </c:tx>
          <c:spPr>
            <a:ln w="12700" cap="rnd">
              <a:solidFill>
                <a:srgbClr val="ED7D31"/>
              </a:solidFill>
              <a:prstDash val="solid"/>
              <a:round/>
            </a:ln>
            <a:effectLst/>
          </c:spPr>
          <c:marker>
            <c:symbol val="none"/>
          </c:marker>
          <c:cat>
            <c:numRef>
              <c:f>'Project-F2'!$A$2:$A$16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'Project-F2'!$D$2:$D$16</c:f>
              <c:numCache>
                <c:formatCode>General</c:formatCode>
                <c:ptCount val="15"/>
                <c:pt idx="10" formatCode="[$¥-804]#,##0">
                  <c:v>281116.56441717787</c:v>
                </c:pt>
                <c:pt idx="11" formatCode="[$¥-804]#,##0">
                  <c:v>265318.77355666226</c:v>
                </c:pt>
                <c:pt idx="12" formatCode="[$¥-804]#,##0">
                  <c:v>275123.64703165082</c:v>
                </c:pt>
                <c:pt idx="13" formatCode="[$¥-804]#,##0">
                  <c:v>284925.60304890235</c:v>
                </c:pt>
                <c:pt idx="14" formatCode="[$¥-804]#,##0">
                  <c:v>294724.64772091218</c:v>
                </c:pt>
              </c:numCache>
            </c:numRef>
          </c:val>
          <c:smooth val="0"/>
          <c:extLst>
            <c:ext xmlns:c16="http://schemas.microsoft.com/office/drawing/2014/chart" uri="{C3380CC4-5D6E-409C-BE32-E72D297353CC}">
              <c16:uniqueId val="{00000002-2BCD-4A83-B9D2-34E8EC9874E5}"/>
            </c:ext>
          </c:extLst>
        </c:ser>
        <c:ser>
          <c:idx val="3"/>
          <c:order val="3"/>
          <c:tx>
            <c:strRef>
              <c:f>'Project-F2'!$E$1</c:f>
              <c:strCache>
                <c:ptCount val="1"/>
                <c:pt idx="0">
                  <c:v>Upper Confidence Bound(Sales)</c:v>
                </c:pt>
              </c:strCache>
            </c:strRef>
          </c:tx>
          <c:spPr>
            <a:ln w="12700" cap="rnd">
              <a:solidFill>
                <a:srgbClr val="ED7D31"/>
              </a:solidFill>
              <a:prstDash val="solid"/>
              <a:round/>
            </a:ln>
            <a:effectLst/>
          </c:spPr>
          <c:marker>
            <c:symbol val="none"/>
          </c:marker>
          <c:cat>
            <c:numRef>
              <c:f>'Project-F2'!$A$2:$A$16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'Project-F2'!$E$2:$E$16</c:f>
              <c:numCache>
                <c:formatCode>General</c:formatCode>
                <c:ptCount val="15"/>
                <c:pt idx="10" formatCode="[$¥-804]#,##0">
                  <c:v>281116.56441717787</c:v>
                </c:pt>
                <c:pt idx="11" formatCode="[$¥-804]#,##0">
                  <c:v>343271.14278182329</c:v>
                </c:pt>
                <c:pt idx="12" formatCode="[$¥-804]#,##0">
                  <c:v>353472.60348570585</c:v>
                </c:pt>
                <c:pt idx="13" formatCode="[$¥-804]#,##0">
                  <c:v>363676.98164732545</c:v>
                </c:pt>
                <c:pt idx="14" formatCode="[$¥-804]#,##0">
                  <c:v>373884.27115418675</c:v>
                </c:pt>
              </c:numCache>
            </c:numRef>
          </c:val>
          <c:smooth val="0"/>
          <c:extLst>
            <c:ext xmlns:c16="http://schemas.microsoft.com/office/drawing/2014/chart" uri="{C3380CC4-5D6E-409C-BE32-E72D297353CC}">
              <c16:uniqueId val="{00000003-2BCD-4A83-B9D2-34E8EC9874E5}"/>
            </c:ext>
          </c:extLst>
        </c:ser>
        <c:dLbls>
          <c:showLegendKey val="0"/>
          <c:showVal val="0"/>
          <c:showCatName val="0"/>
          <c:showSerName val="0"/>
          <c:showPercent val="0"/>
          <c:showBubbleSize val="0"/>
        </c:dLbls>
        <c:smooth val="0"/>
        <c:axId val="901797536"/>
        <c:axId val="901795376"/>
      </c:lineChart>
      <c:catAx>
        <c:axId val="90179753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795376"/>
        <c:crosses val="autoZero"/>
        <c:auto val="1"/>
        <c:lblAlgn val="ctr"/>
        <c:lblOffset val="100"/>
        <c:noMultiLvlLbl val="0"/>
      </c:catAx>
      <c:valAx>
        <c:axId val="901795376"/>
        <c:scaling>
          <c:orientation val="minMax"/>
        </c:scaling>
        <c:delete val="0"/>
        <c:axPos val="l"/>
        <c:majorGridlines>
          <c:spPr>
            <a:ln w="9525" cap="flat" cmpd="sng" algn="ctr">
              <a:solidFill>
                <a:schemeClr val="tx1">
                  <a:lumMod val="15000"/>
                  <a:lumOff val="85000"/>
                </a:schemeClr>
              </a:solidFill>
              <a:round/>
            </a:ln>
            <a:effectLst/>
          </c:spPr>
        </c:majorGridlines>
        <c:numFmt formatCode="[$¥-804]#,##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797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'Forex-USD'!$B$1</c:f>
              <c:strCache>
                <c:ptCount val="1"/>
                <c:pt idx="0">
                  <c:v>FOREX (RM/USD)</c:v>
                </c:pt>
              </c:strCache>
            </c:strRef>
          </c:tx>
          <c:spPr>
            <a:ln w="28575" cap="rnd">
              <a:solidFill>
                <a:schemeClr val="accent1"/>
              </a:solidFill>
              <a:round/>
            </a:ln>
            <a:effectLst/>
          </c:spPr>
          <c:marker>
            <c:symbol val="none"/>
          </c:marker>
          <c:val>
            <c:numRef>
              <c:f>'Forex-USD'!$B$2:$B$16</c:f>
              <c:numCache>
                <c:formatCode>General</c:formatCode>
                <c:ptCount val="15"/>
                <c:pt idx="0">
                  <c:v>4.8</c:v>
                </c:pt>
                <c:pt idx="1">
                  <c:v>4.8499999999999996</c:v>
                </c:pt>
                <c:pt idx="2">
                  <c:v>4.8</c:v>
                </c:pt>
                <c:pt idx="3">
                  <c:v>4.75</c:v>
                </c:pt>
                <c:pt idx="4">
                  <c:v>4.7</c:v>
                </c:pt>
                <c:pt idx="5">
                  <c:v>4.68</c:v>
                </c:pt>
                <c:pt idx="6">
                  <c:v>4.5999999999999996</c:v>
                </c:pt>
                <c:pt idx="7">
                  <c:v>4.59</c:v>
                </c:pt>
                <c:pt idx="8">
                  <c:v>4.5</c:v>
                </c:pt>
                <c:pt idx="9">
                  <c:v>4.5</c:v>
                </c:pt>
                <c:pt idx="10">
                  <c:v>4.5</c:v>
                </c:pt>
                <c:pt idx="11">
                  <c:v>4.5</c:v>
                </c:pt>
              </c:numCache>
            </c:numRef>
          </c:val>
          <c:smooth val="0"/>
          <c:extLst>
            <c:ext xmlns:c16="http://schemas.microsoft.com/office/drawing/2014/chart" uri="{C3380CC4-5D6E-409C-BE32-E72D297353CC}">
              <c16:uniqueId val="{00000000-C62F-41F8-89FD-8AA886DFE5DA}"/>
            </c:ext>
          </c:extLst>
        </c:ser>
        <c:ser>
          <c:idx val="1"/>
          <c:order val="1"/>
          <c:tx>
            <c:strRef>
              <c:f>'Forex-USD'!$C$1</c:f>
              <c:strCache>
                <c:ptCount val="1"/>
                <c:pt idx="0">
                  <c:v>Forecast(FOREX (RM/USD))</c:v>
                </c:pt>
              </c:strCache>
            </c:strRef>
          </c:tx>
          <c:spPr>
            <a:ln w="25400" cap="rnd">
              <a:solidFill>
                <a:schemeClr val="accent2"/>
              </a:solidFill>
              <a:round/>
            </a:ln>
            <a:effectLst/>
          </c:spPr>
          <c:marker>
            <c:symbol val="none"/>
          </c:marker>
          <c:cat>
            <c:numRef>
              <c:f>'Forex-USD'!$A$2:$A$16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'Forex-USD'!$C$2:$C$16</c:f>
              <c:numCache>
                <c:formatCode>General</c:formatCode>
                <c:ptCount val="15"/>
                <c:pt idx="10">
                  <c:v>4.5</c:v>
                </c:pt>
                <c:pt idx="11">
                  <c:v>4.4504920653442825</c:v>
                </c:pt>
                <c:pt idx="12">
                  <c:v>4.4122241029480067</c:v>
                </c:pt>
                <c:pt idx="13">
                  <c:v>4.3739561405517318</c:v>
                </c:pt>
                <c:pt idx="14">
                  <c:v>4.3356881781554568</c:v>
                </c:pt>
              </c:numCache>
            </c:numRef>
          </c:val>
          <c:smooth val="0"/>
          <c:extLst>
            <c:ext xmlns:c16="http://schemas.microsoft.com/office/drawing/2014/chart" uri="{C3380CC4-5D6E-409C-BE32-E72D297353CC}">
              <c16:uniqueId val="{00000001-C62F-41F8-89FD-8AA886DFE5DA}"/>
            </c:ext>
          </c:extLst>
        </c:ser>
        <c:ser>
          <c:idx val="2"/>
          <c:order val="2"/>
          <c:tx>
            <c:strRef>
              <c:f>'Forex-USD'!$D$1</c:f>
              <c:strCache>
                <c:ptCount val="1"/>
                <c:pt idx="0">
                  <c:v>Lower Confidence Bound(FOREX (RM/USD))</c:v>
                </c:pt>
              </c:strCache>
            </c:strRef>
          </c:tx>
          <c:spPr>
            <a:ln w="12700" cap="rnd">
              <a:solidFill>
                <a:srgbClr val="ED7D31"/>
              </a:solidFill>
              <a:prstDash val="solid"/>
              <a:round/>
            </a:ln>
            <a:effectLst/>
          </c:spPr>
          <c:marker>
            <c:symbol val="none"/>
          </c:marker>
          <c:cat>
            <c:numRef>
              <c:f>'Forex-USD'!$A$2:$A$16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'Forex-USD'!$D$2:$D$16</c:f>
              <c:numCache>
                <c:formatCode>General</c:formatCode>
                <c:ptCount val="15"/>
                <c:pt idx="10" formatCode="0.00">
                  <c:v>4.5</c:v>
                </c:pt>
                <c:pt idx="11" formatCode="0.00">
                  <c:v>4.3777499515488127</c:v>
                </c:pt>
                <c:pt idx="12" formatCode="0.00">
                  <c:v>4.3212527968223471</c:v>
                </c:pt>
                <c:pt idx="13" formatCode="0.00">
                  <c:v>4.2678048572155962</c:v>
                </c:pt>
                <c:pt idx="14" formatCode="0.00">
                  <c:v>4.216237874893543</c:v>
                </c:pt>
              </c:numCache>
            </c:numRef>
          </c:val>
          <c:smooth val="0"/>
          <c:extLst>
            <c:ext xmlns:c16="http://schemas.microsoft.com/office/drawing/2014/chart" uri="{C3380CC4-5D6E-409C-BE32-E72D297353CC}">
              <c16:uniqueId val="{00000002-C62F-41F8-89FD-8AA886DFE5DA}"/>
            </c:ext>
          </c:extLst>
        </c:ser>
        <c:ser>
          <c:idx val="3"/>
          <c:order val="3"/>
          <c:tx>
            <c:strRef>
              <c:f>'Forex-USD'!$E$1</c:f>
              <c:strCache>
                <c:ptCount val="1"/>
                <c:pt idx="0">
                  <c:v>Upper Confidence Bound(FOREX (RM/USD))</c:v>
                </c:pt>
              </c:strCache>
            </c:strRef>
          </c:tx>
          <c:spPr>
            <a:ln w="12700" cap="rnd">
              <a:solidFill>
                <a:srgbClr val="ED7D31"/>
              </a:solidFill>
              <a:prstDash val="solid"/>
              <a:round/>
            </a:ln>
            <a:effectLst/>
          </c:spPr>
          <c:marker>
            <c:symbol val="none"/>
          </c:marker>
          <c:cat>
            <c:numRef>
              <c:f>'Forex-USD'!$A$2:$A$16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'Forex-USD'!$E$2:$E$16</c:f>
              <c:numCache>
                <c:formatCode>General</c:formatCode>
                <c:ptCount val="15"/>
                <c:pt idx="10" formatCode="0.00">
                  <c:v>4.5</c:v>
                </c:pt>
                <c:pt idx="11" formatCode="0.00">
                  <c:v>4.5232341791397523</c:v>
                </c:pt>
                <c:pt idx="12" formatCode="0.00">
                  <c:v>4.5031954090736663</c:v>
                </c:pt>
                <c:pt idx="13" formatCode="0.00">
                  <c:v>4.4801074238878673</c:v>
                </c:pt>
                <c:pt idx="14" formatCode="0.00">
                  <c:v>4.4551384814173707</c:v>
                </c:pt>
              </c:numCache>
            </c:numRef>
          </c:val>
          <c:smooth val="0"/>
          <c:extLst>
            <c:ext xmlns:c16="http://schemas.microsoft.com/office/drawing/2014/chart" uri="{C3380CC4-5D6E-409C-BE32-E72D297353CC}">
              <c16:uniqueId val="{00000003-C62F-41F8-89FD-8AA886DFE5DA}"/>
            </c:ext>
          </c:extLst>
        </c:ser>
        <c:dLbls>
          <c:showLegendKey val="0"/>
          <c:showVal val="0"/>
          <c:showCatName val="0"/>
          <c:showSerName val="0"/>
          <c:showPercent val="0"/>
          <c:showBubbleSize val="0"/>
        </c:dLbls>
        <c:smooth val="0"/>
        <c:axId val="901811216"/>
        <c:axId val="901805456"/>
      </c:lineChart>
      <c:catAx>
        <c:axId val="90181121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805456"/>
        <c:crosses val="autoZero"/>
        <c:auto val="1"/>
        <c:lblAlgn val="ctr"/>
        <c:lblOffset val="100"/>
        <c:noMultiLvlLbl val="0"/>
      </c:catAx>
      <c:valAx>
        <c:axId val="901805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811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'Forex-RMB'!$B$1</c:f>
              <c:strCache>
                <c:ptCount val="1"/>
                <c:pt idx="0">
                  <c:v>FOREX (RMB/RM)</c:v>
                </c:pt>
              </c:strCache>
            </c:strRef>
          </c:tx>
          <c:spPr>
            <a:ln w="28575" cap="rnd">
              <a:solidFill>
                <a:schemeClr val="accent1"/>
              </a:solidFill>
              <a:round/>
            </a:ln>
            <a:effectLst/>
          </c:spPr>
          <c:marker>
            <c:symbol val="none"/>
          </c:marker>
          <c:val>
            <c:numRef>
              <c:f>'Forex-RMB'!$B$2:$B$16</c:f>
              <c:numCache>
                <c:formatCode>General</c:formatCode>
                <c:ptCount val="15"/>
                <c:pt idx="0">
                  <c:v>1.7</c:v>
                </c:pt>
                <c:pt idx="1">
                  <c:v>1.78</c:v>
                </c:pt>
                <c:pt idx="2">
                  <c:v>1.8</c:v>
                </c:pt>
                <c:pt idx="3">
                  <c:v>1.81</c:v>
                </c:pt>
                <c:pt idx="4">
                  <c:v>1.78</c:v>
                </c:pt>
                <c:pt idx="5">
                  <c:v>1.7</c:v>
                </c:pt>
                <c:pt idx="6">
                  <c:v>1.6</c:v>
                </c:pt>
                <c:pt idx="7">
                  <c:v>1.53</c:v>
                </c:pt>
                <c:pt idx="8">
                  <c:v>1.5</c:v>
                </c:pt>
                <c:pt idx="9">
                  <c:v>1.48</c:v>
                </c:pt>
                <c:pt idx="10">
                  <c:v>1.46</c:v>
                </c:pt>
                <c:pt idx="11">
                  <c:v>1.45</c:v>
                </c:pt>
              </c:numCache>
            </c:numRef>
          </c:val>
          <c:smooth val="0"/>
          <c:extLst>
            <c:ext xmlns:c16="http://schemas.microsoft.com/office/drawing/2014/chart" uri="{C3380CC4-5D6E-409C-BE32-E72D297353CC}">
              <c16:uniqueId val="{00000000-85B1-4D9A-9A17-BEB4BA4AE608}"/>
            </c:ext>
          </c:extLst>
        </c:ser>
        <c:ser>
          <c:idx val="1"/>
          <c:order val="1"/>
          <c:tx>
            <c:strRef>
              <c:f>'Forex-RMB'!$C$1</c:f>
              <c:strCache>
                <c:ptCount val="1"/>
                <c:pt idx="0">
                  <c:v>Forecast(FOREX (RMB/RM))</c:v>
                </c:pt>
              </c:strCache>
            </c:strRef>
          </c:tx>
          <c:spPr>
            <a:ln w="25400" cap="rnd">
              <a:solidFill>
                <a:schemeClr val="accent2"/>
              </a:solidFill>
              <a:round/>
            </a:ln>
            <a:effectLst/>
          </c:spPr>
          <c:marker>
            <c:symbol val="none"/>
          </c:marker>
          <c:cat>
            <c:numRef>
              <c:f>'Forex-RMB'!$A$2:$A$16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'Forex-RMB'!$C$2:$C$16</c:f>
              <c:numCache>
                <c:formatCode>General</c:formatCode>
                <c:ptCount val="15"/>
                <c:pt idx="10">
                  <c:v>1.46</c:v>
                </c:pt>
                <c:pt idx="11">
                  <c:v>1.4258737828953623</c:v>
                </c:pt>
                <c:pt idx="12">
                  <c:v>1.3917852187171982</c:v>
                </c:pt>
                <c:pt idx="13">
                  <c:v>1.3576966545390343</c:v>
                </c:pt>
                <c:pt idx="14">
                  <c:v>1.3236080903608705</c:v>
                </c:pt>
              </c:numCache>
            </c:numRef>
          </c:val>
          <c:smooth val="0"/>
          <c:extLst>
            <c:ext xmlns:c16="http://schemas.microsoft.com/office/drawing/2014/chart" uri="{C3380CC4-5D6E-409C-BE32-E72D297353CC}">
              <c16:uniqueId val="{00000001-85B1-4D9A-9A17-BEB4BA4AE608}"/>
            </c:ext>
          </c:extLst>
        </c:ser>
        <c:ser>
          <c:idx val="2"/>
          <c:order val="2"/>
          <c:tx>
            <c:strRef>
              <c:f>'Forex-RMB'!$D$1</c:f>
              <c:strCache>
                <c:ptCount val="1"/>
                <c:pt idx="0">
                  <c:v>Lower Confidence Bound(FOREX (RMB/RM))</c:v>
                </c:pt>
              </c:strCache>
            </c:strRef>
          </c:tx>
          <c:spPr>
            <a:ln w="12700" cap="rnd">
              <a:solidFill>
                <a:srgbClr val="ED7D31"/>
              </a:solidFill>
              <a:prstDash val="solid"/>
              <a:round/>
            </a:ln>
            <a:effectLst/>
          </c:spPr>
          <c:marker>
            <c:symbol val="none"/>
          </c:marker>
          <c:cat>
            <c:numRef>
              <c:f>'Forex-RMB'!$A$2:$A$16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'Forex-RMB'!$D$2:$D$16</c:f>
              <c:numCache>
                <c:formatCode>General</c:formatCode>
                <c:ptCount val="15"/>
                <c:pt idx="10" formatCode="0.00">
                  <c:v>1.46</c:v>
                </c:pt>
                <c:pt idx="11" formatCode="0.00">
                  <c:v>1.3254803450268544</c:v>
                </c:pt>
                <c:pt idx="12" formatCode="0.00">
                  <c:v>1.2313123769108218</c:v>
                </c:pt>
                <c:pt idx="13" formatCode="0.00">
                  <c:v>1.1379055186022822</c:v>
                </c:pt>
                <c:pt idx="14" formatCode="0.00">
                  <c:v>1.0425414249323313</c:v>
                </c:pt>
              </c:numCache>
            </c:numRef>
          </c:val>
          <c:smooth val="0"/>
          <c:extLst>
            <c:ext xmlns:c16="http://schemas.microsoft.com/office/drawing/2014/chart" uri="{C3380CC4-5D6E-409C-BE32-E72D297353CC}">
              <c16:uniqueId val="{00000002-85B1-4D9A-9A17-BEB4BA4AE608}"/>
            </c:ext>
          </c:extLst>
        </c:ser>
        <c:ser>
          <c:idx val="3"/>
          <c:order val="3"/>
          <c:tx>
            <c:strRef>
              <c:f>'Forex-RMB'!$E$1</c:f>
              <c:strCache>
                <c:ptCount val="1"/>
                <c:pt idx="0">
                  <c:v>Upper Confidence Bound(FOREX (RMB/RM))</c:v>
                </c:pt>
              </c:strCache>
            </c:strRef>
          </c:tx>
          <c:spPr>
            <a:ln w="12700" cap="rnd">
              <a:solidFill>
                <a:srgbClr val="ED7D31"/>
              </a:solidFill>
              <a:prstDash val="solid"/>
              <a:round/>
            </a:ln>
            <a:effectLst/>
          </c:spPr>
          <c:marker>
            <c:symbol val="none"/>
          </c:marker>
          <c:cat>
            <c:numRef>
              <c:f>'Forex-RMB'!$A$2:$A$16</c:f>
              <c:numCache>
                <c:formatCode>m/d/yyyy</c:formatCode>
                <c:ptCount val="15"/>
                <c:pt idx="0">
                  <c:v>44681</c:v>
                </c:pt>
                <c:pt idx="1">
                  <c:v>44773</c:v>
                </c:pt>
                <c:pt idx="2">
                  <c:v>44865</c:v>
                </c:pt>
                <c:pt idx="3">
                  <c:v>44957</c:v>
                </c:pt>
                <c:pt idx="4">
                  <c:v>45046</c:v>
                </c:pt>
                <c:pt idx="5">
                  <c:v>45138</c:v>
                </c:pt>
                <c:pt idx="6">
                  <c:v>45230</c:v>
                </c:pt>
                <c:pt idx="7">
                  <c:v>45322</c:v>
                </c:pt>
                <c:pt idx="8">
                  <c:v>45412</c:v>
                </c:pt>
                <c:pt idx="9">
                  <c:v>45504</c:v>
                </c:pt>
                <c:pt idx="10">
                  <c:v>45596</c:v>
                </c:pt>
                <c:pt idx="11">
                  <c:v>45688</c:v>
                </c:pt>
                <c:pt idx="12">
                  <c:v>45778</c:v>
                </c:pt>
                <c:pt idx="13">
                  <c:v>45869</c:v>
                </c:pt>
                <c:pt idx="14">
                  <c:v>45961</c:v>
                </c:pt>
              </c:numCache>
            </c:numRef>
          </c:cat>
          <c:val>
            <c:numRef>
              <c:f>'Forex-RMB'!$E$2:$E$16</c:f>
              <c:numCache>
                <c:formatCode>General</c:formatCode>
                <c:ptCount val="15"/>
                <c:pt idx="10" formatCode="0.00">
                  <c:v>1.46</c:v>
                </c:pt>
                <c:pt idx="11" formatCode="0.00">
                  <c:v>1.5262672207638701</c:v>
                </c:pt>
                <c:pt idx="12" formatCode="0.00">
                  <c:v>1.5522580605235745</c:v>
                </c:pt>
                <c:pt idx="13" formatCode="0.00">
                  <c:v>1.5774877904757865</c:v>
                </c:pt>
                <c:pt idx="14" formatCode="0.00">
                  <c:v>1.6046747557894097</c:v>
                </c:pt>
              </c:numCache>
            </c:numRef>
          </c:val>
          <c:smooth val="0"/>
          <c:extLst>
            <c:ext xmlns:c16="http://schemas.microsoft.com/office/drawing/2014/chart" uri="{C3380CC4-5D6E-409C-BE32-E72D297353CC}">
              <c16:uniqueId val="{00000003-85B1-4D9A-9A17-BEB4BA4AE608}"/>
            </c:ext>
          </c:extLst>
        </c:ser>
        <c:dLbls>
          <c:showLegendKey val="0"/>
          <c:showVal val="0"/>
          <c:showCatName val="0"/>
          <c:showSerName val="0"/>
          <c:showPercent val="0"/>
          <c:showBubbleSize val="0"/>
        </c:dLbls>
        <c:smooth val="0"/>
        <c:axId val="901781336"/>
        <c:axId val="901787096"/>
      </c:lineChart>
      <c:catAx>
        <c:axId val="90178133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787096"/>
        <c:crosses val="autoZero"/>
        <c:auto val="1"/>
        <c:lblAlgn val="ctr"/>
        <c:lblOffset val="100"/>
        <c:noMultiLvlLbl val="0"/>
      </c:catAx>
      <c:valAx>
        <c:axId val="901787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781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jpg"/><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2.xml"/></Relationships>
</file>

<file path=xl/drawings/drawing1.xml><?xml version="1.0" encoding="utf-8"?>
<xdr:wsDr xmlns:xdr="http://schemas.openxmlformats.org/drawingml/2006/spreadsheetDrawing" xmlns:a="http://schemas.openxmlformats.org/drawingml/2006/main">
  <xdr:twoCellAnchor>
    <xdr:from>
      <xdr:col>0</xdr:col>
      <xdr:colOff>68036</xdr:colOff>
      <xdr:row>24</xdr:row>
      <xdr:rowOff>54429</xdr:rowOff>
    </xdr:from>
    <xdr:to>
      <xdr:col>15</xdr:col>
      <xdr:colOff>1023937</xdr:colOff>
      <xdr:row>35</xdr:row>
      <xdr:rowOff>27215</xdr:rowOff>
    </xdr:to>
    <xdr:sp macro="" textlink="">
      <xdr:nvSpPr>
        <xdr:cNvPr id="20" name="Rectangle: Rounded Corners 19">
          <a:extLst>
            <a:ext uri="{FF2B5EF4-FFF2-40B4-BE49-F238E27FC236}">
              <a16:creationId xmlns:a16="http://schemas.microsoft.com/office/drawing/2014/main" id="{66540A22-F92D-9AB6-A95E-FB67F11AE277}"/>
            </a:ext>
          </a:extLst>
        </xdr:cNvPr>
        <xdr:cNvSpPr/>
      </xdr:nvSpPr>
      <xdr:spPr>
        <a:xfrm>
          <a:off x="68036" y="4864554"/>
          <a:ext cx="20148776" cy="2068286"/>
        </a:xfrm>
        <a:prstGeom prst="roundRect">
          <a:avLst>
            <a:gd name="adj" fmla="val 12350"/>
          </a:avLst>
        </a:prstGeom>
        <a:solidFill>
          <a:srgbClr val="0070C0"/>
        </a:solidFill>
        <a:ln>
          <a:noFill/>
        </a:ln>
        <a:effectLst>
          <a:outerShdw blurRad="63500" sx="102000" sy="102000" algn="ctr" rotWithShape="0">
            <a:prstClr val="black">
              <a:alpha val="40000"/>
            </a:prstClr>
          </a:outerShdw>
        </a:effectLst>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623455</xdr:colOff>
      <xdr:row>23</xdr:row>
      <xdr:rowOff>121227</xdr:rowOff>
    </xdr:from>
    <xdr:to>
      <xdr:col>15</xdr:col>
      <xdr:colOff>774989</xdr:colOff>
      <xdr:row>35</xdr:row>
      <xdr:rowOff>94012</xdr:rowOff>
    </xdr:to>
    <xdr:pic>
      <xdr:nvPicPr>
        <xdr:cNvPr id="11" name="Picture 10" descr="A group of people working on a computer&#10;&#10;Description automatically generated">
          <a:extLst>
            <a:ext uri="{FF2B5EF4-FFF2-40B4-BE49-F238E27FC236}">
              <a16:creationId xmlns:a16="http://schemas.microsoft.com/office/drawing/2014/main" id="{A2BB7E7C-3019-4F12-7991-FDABC9F9A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25500" y="5074227"/>
          <a:ext cx="6455353" cy="2466603"/>
        </a:xfrm>
        <a:prstGeom prst="rect">
          <a:avLst/>
        </a:prstGeom>
        <a:ln>
          <a:noFill/>
        </a:ln>
        <a:effectLst>
          <a:outerShdw blurRad="50800" dist="38100" dir="8100000" algn="tr" rotWithShape="0">
            <a:prstClr val="black">
              <a:alpha val="40000"/>
            </a:prstClr>
          </a:outerShdw>
          <a:softEdge rad="317500"/>
        </a:effectLst>
        <a:scene3d>
          <a:camera prst="orthographicFront"/>
          <a:lightRig rig="threePt" dir="t"/>
        </a:scene3d>
      </xdr:spPr>
    </xdr:pic>
    <xdr:clientData/>
  </xdr:twoCellAnchor>
  <xdr:twoCellAnchor editAs="oneCell">
    <xdr:from>
      <xdr:col>3</xdr:col>
      <xdr:colOff>724579</xdr:colOff>
      <xdr:row>27</xdr:row>
      <xdr:rowOff>74838</xdr:rowOff>
    </xdr:from>
    <xdr:to>
      <xdr:col>9</xdr:col>
      <xdr:colOff>310129</xdr:colOff>
      <xdr:row>33</xdr:row>
      <xdr:rowOff>65792</xdr:rowOff>
    </xdr:to>
    <xdr:pic>
      <xdr:nvPicPr>
        <xdr:cNvPr id="21" name="Picture 20">
          <a:extLst>
            <a:ext uri="{FF2B5EF4-FFF2-40B4-BE49-F238E27FC236}">
              <a16:creationId xmlns:a16="http://schemas.microsoft.com/office/drawing/2014/main" id="{6714F0A5-DCE7-BE7B-2A93-EC7475E1D074}"/>
            </a:ext>
          </a:extLst>
        </xdr:cNvPr>
        <xdr:cNvPicPr>
          <a:picLocks noChangeAspect="1"/>
        </xdr:cNvPicPr>
      </xdr:nvPicPr>
      <xdr:blipFill>
        <a:blip xmlns:r="http://schemas.openxmlformats.org/officeDocument/2006/relationships" r:embed="rId2"/>
        <a:stretch>
          <a:fillRect/>
        </a:stretch>
      </xdr:blipFill>
      <xdr:spPr>
        <a:xfrm>
          <a:off x="4126365" y="5789838"/>
          <a:ext cx="7804264" cy="1215597"/>
        </a:xfrm>
        <a:prstGeom prst="rect">
          <a:avLst/>
        </a:prstGeom>
      </xdr:spPr>
    </xdr:pic>
    <xdr:clientData/>
  </xdr:twoCellAnchor>
  <xdr:twoCellAnchor>
    <xdr:from>
      <xdr:col>0</xdr:col>
      <xdr:colOff>86591</xdr:colOff>
      <xdr:row>43</xdr:row>
      <xdr:rowOff>48985</xdr:rowOff>
    </xdr:from>
    <xdr:to>
      <xdr:col>7</xdr:col>
      <xdr:colOff>1262063</xdr:colOff>
      <xdr:row>72</xdr:row>
      <xdr:rowOff>155863</xdr:rowOff>
    </xdr:to>
    <xdr:sp macro="" textlink="">
      <xdr:nvSpPr>
        <xdr:cNvPr id="28" name="Rectangle: Rounded Corners 27">
          <a:extLst>
            <a:ext uri="{FF2B5EF4-FFF2-40B4-BE49-F238E27FC236}">
              <a16:creationId xmlns:a16="http://schemas.microsoft.com/office/drawing/2014/main" id="{AB2A7506-AB25-478D-BDCE-83E906F2AD1F}"/>
            </a:ext>
          </a:extLst>
        </xdr:cNvPr>
        <xdr:cNvSpPr/>
      </xdr:nvSpPr>
      <xdr:spPr>
        <a:xfrm>
          <a:off x="86591" y="9158349"/>
          <a:ext cx="10180927" cy="6133605"/>
        </a:xfrm>
        <a:prstGeom prst="roundRect">
          <a:avLst>
            <a:gd name="adj" fmla="val 2652"/>
          </a:avLst>
        </a:prstGeom>
        <a:ln w="19050">
          <a:solidFill>
            <a:srgbClr val="0070C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727363</xdr:colOff>
      <xdr:row>35</xdr:row>
      <xdr:rowOff>102053</xdr:rowOff>
    </xdr:from>
    <xdr:to>
      <xdr:col>15</xdr:col>
      <xdr:colOff>1056409</xdr:colOff>
      <xdr:row>43</xdr:row>
      <xdr:rowOff>12246</xdr:rowOff>
    </xdr:to>
    <xdr:sp macro="" textlink="">
      <xdr:nvSpPr>
        <xdr:cNvPr id="29" name="Rectangle: Rounded Corners 28">
          <a:extLst>
            <a:ext uri="{FF2B5EF4-FFF2-40B4-BE49-F238E27FC236}">
              <a16:creationId xmlns:a16="http://schemas.microsoft.com/office/drawing/2014/main" id="{5FEDD1D1-1053-47A3-952D-F08171E4F28E}"/>
            </a:ext>
          </a:extLst>
        </xdr:cNvPr>
        <xdr:cNvSpPr/>
      </xdr:nvSpPr>
      <xdr:spPr>
        <a:xfrm>
          <a:off x="16382999" y="7548871"/>
          <a:ext cx="3879274" cy="1572739"/>
        </a:xfrm>
        <a:prstGeom prst="roundRect">
          <a:avLst>
            <a:gd name="adj" fmla="val 16667"/>
          </a:avLst>
        </a:prstGeom>
        <a:solidFill>
          <a:srgbClr val="0070C0"/>
        </a:solidFill>
        <a:ln>
          <a:noFill/>
        </a:ln>
        <a:effectLst>
          <a:outerShdw blurRad="63500" sx="102000" sy="102000" algn="ctr" rotWithShape="0">
            <a:prstClr val="black">
              <a:alpha val="4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eaLnBrk="1" fontAlgn="auto" latinLnBrk="0" hangingPunct="1"/>
          <a:r>
            <a:rPr lang="en-US" sz="2400" b="1">
              <a:solidFill>
                <a:schemeClr val="lt1"/>
              </a:solidFill>
              <a:effectLst/>
              <a:latin typeface="Times New Roman" panose="02020603050405020304" pitchFamily="18" charset="0"/>
              <a:ea typeface="+mn-ea"/>
              <a:cs typeface="Times New Roman" panose="02020603050405020304" pitchFamily="18" charset="0"/>
            </a:rPr>
            <a:t>Project F2 -RM</a:t>
          </a:r>
          <a:endParaRPr lang="en-US" sz="2400">
            <a:effectLst/>
            <a:latin typeface="Times New Roman" panose="02020603050405020304" pitchFamily="18" charset="0"/>
            <a:cs typeface="Times New Roman" panose="02020603050405020304" pitchFamily="18" charset="0"/>
          </a:endParaRPr>
        </a:p>
      </xdr:txBody>
    </xdr:sp>
    <xdr:clientData/>
  </xdr:twoCellAnchor>
  <xdr:twoCellAnchor>
    <xdr:from>
      <xdr:col>9</xdr:col>
      <xdr:colOff>387110</xdr:colOff>
      <xdr:row>35</xdr:row>
      <xdr:rowOff>126867</xdr:rowOff>
    </xdr:from>
    <xdr:to>
      <xdr:col>12</xdr:col>
      <xdr:colOff>623455</xdr:colOff>
      <xdr:row>43</xdr:row>
      <xdr:rowOff>37060</xdr:rowOff>
    </xdr:to>
    <xdr:sp macro="" textlink="">
      <xdr:nvSpPr>
        <xdr:cNvPr id="30" name="Rectangle: Rounded Corners 29">
          <a:extLst>
            <a:ext uri="{FF2B5EF4-FFF2-40B4-BE49-F238E27FC236}">
              <a16:creationId xmlns:a16="http://schemas.microsoft.com/office/drawing/2014/main" id="{52C1285B-6E01-42D4-B10D-020F244277B4}"/>
            </a:ext>
          </a:extLst>
        </xdr:cNvPr>
        <xdr:cNvSpPr/>
      </xdr:nvSpPr>
      <xdr:spPr>
        <a:xfrm>
          <a:off x="11990292" y="7573685"/>
          <a:ext cx="4288799" cy="1572739"/>
        </a:xfrm>
        <a:prstGeom prst="roundRect">
          <a:avLst>
            <a:gd name="adj" fmla="val 16667"/>
          </a:avLst>
        </a:prstGeom>
        <a:solidFill>
          <a:srgbClr val="0070C0"/>
        </a:solidFill>
        <a:ln>
          <a:noFill/>
        </a:ln>
        <a:effectLst>
          <a:outerShdw blurRad="63500" sx="102000" sy="102000" algn="ctr" rotWithShape="0">
            <a:prstClr val="black">
              <a:alpha val="4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eaLnBrk="1" fontAlgn="auto" latinLnBrk="0" hangingPunct="1"/>
          <a:r>
            <a:rPr lang="en-US" sz="2400" b="1">
              <a:solidFill>
                <a:schemeClr val="lt1"/>
              </a:solidFill>
              <a:effectLst/>
              <a:latin typeface="Times New Roman" panose="02020603050405020304" pitchFamily="18" charset="0"/>
              <a:ea typeface="+mn-ea"/>
              <a:cs typeface="Times New Roman" panose="02020603050405020304" pitchFamily="18" charset="0"/>
            </a:rPr>
            <a:t>Project F1 -RM</a:t>
          </a:r>
          <a:endParaRPr lang="en-US" sz="2400">
            <a:effectLst/>
            <a:latin typeface="Times New Roman" panose="02020603050405020304" pitchFamily="18" charset="0"/>
            <a:cs typeface="Times New Roman" panose="02020603050405020304" pitchFamily="18" charset="0"/>
          </a:endParaRPr>
        </a:p>
      </xdr:txBody>
    </xdr:sp>
    <xdr:clientData/>
  </xdr:twoCellAnchor>
  <xdr:twoCellAnchor>
    <xdr:from>
      <xdr:col>3</xdr:col>
      <xdr:colOff>646886</xdr:colOff>
      <xdr:row>35</xdr:row>
      <xdr:rowOff>59952</xdr:rowOff>
    </xdr:from>
    <xdr:to>
      <xdr:col>6</xdr:col>
      <xdr:colOff>163287</xdr:colOff>
      <xdr:row>42</xdr:row>
      <xdr:rowOff>185458</xdr:rowOff>
    </xdr:to>
    <xdr:sp macro="" textlink="">
      <xdr:nvSpPr>
        <xdr:cNvPr id="31" name="Rectangle: Rounded Corners 30">
          <a:extLst>
            <a:ext uri="{FF2B5EF4-FFF2-40B4-BE49-F238E27FC236}">
              <a16:creationId xmlns:a16="http://schemas.microsoft.com/office/drawing/2014/main" id="{6B6362F5-9298-4F93-AA28-395A0E4A9739}"/>
            </a:ext>
          </a:extLst>
        </xdr:cNvPr>
        <xdr:cNvSpPr/>
      </xdr:nvSpPr>
      <xdr:spPr>
        <a:xfrm>
          <a:off x="4048672" y="7407809"/>
          <a:ext cx="4006758" cy="1554256"/>
        </a:xfrm>
        <a:prstGeom prst="roundRect">
          <a:avLst>
            <a:gd name="adj" fmla="val 16667"/>
          </a:avLst>
        </a:prstGeom>
        <a:solidFill>
          <a:srgbClr val="0070C0"/>
        </a:solidFill>
        <a:ln>
          <a:noFill/>
        </a:ln>
        <a:effectLst>
          <a:outerShdw blurRad="63500" sx="102000" sy="102000" algn="ctr" rotWithShape="0">
            <a:prstClr val="black">
              <a:alpha val="4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marL="0" indent="0" algn="ctr"/>
          <a:r>
            <a:rPr lang="en-US" sz="2400" b="1">
              <a:solidFill>
                <a:schemeClr val="lt1"/>
              </a:solidFill>
              <a:latin typeface="Times New Roman" panose="02020603050405020304" pitchFamily="18" charset="0"/>
              <a:ea typeface="+mn-ea"/>
              <a:cs typeface="Times New Roman" panose="02020603050405020304" pitchFamily="18" charset="0"/>
            </a:rPr>
            <a:t>Project B </a:t>
          </a:r>
        </a:p>
      </xdr:txBody>
    </xdr:sp>
    <xdr:clientData/>
  </xdr:twoCellAnchor>
  <xdr:twoCellAnchor>
    <xdr:from>
      <xdr:col>0</xdr:col>
      <xdr:colOff>126320</xdr:colOff>
      <xdr:row>35</xdr:row>
      <xdr:rowOff>71878</xdr:rowOff>
    </xdr:from>
    <xdr:to>
      <xdr:col>3</xdr:col>
      <xdr:colOff>582706</xdr:colOff>
      <xdr:row>42</xdr:row>
      <xdr:rowOff>197384</xdr:rowOff>
    </xdr:to>
    <xdr:sp macro="" textlink="">
      <xdr:nvSpPr>
        <xdr:cNvPr id="32" name="Rectangle: Rounded Corners 31">
          <a:extLst>
            <a:ext uri="{FF2B5EF4-FFF2-40B4-BE49-F238E27FC236}">
              <a16:creationId xmlns:a16="http://schemas.microsoft.com/office/drawing/2014/main" id="{051ACB38-99D5-46C1-B510-CD919FB8CF88}"/>
            </a:ext>
          </a:extLst>
        </xdr:cNvPr>
        <xdr:cNvSpPr/>
      </xdr:nvSpPr>
      <xdr:spPr>
        <a:xfrm>
          <a:off x="126320" y="7299672"/>
          <a:ext cx="3840562" cy="1537447"/>
        </a:xfrm>
        <a:prstGeom prst="roundRect">
          <a:avLst>
            <a:gd name="adj" fmla="val 16667"/>
          </a:avLst>
        </a:prstGeom>
        <a:solidFill>
          <a:srgbClr val="0070C0"/>
        </a:solidFill>
        <a:ln>
          <a:noFill/>
        </a:ln>
        <a:effectLst>
          <a:outerShdw blurRad="63500" sx="102000" sy="102000" algn="ctr" rotWithShape="0">
            <a:prstClr val="black">
              <a:alpha val="4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2400" b="1">
              <a:latin typeface="Times New Roman" panose="02020603050405020304" pitchFamily="18" charset="0"/>
              <a:cs typeface="Times New Roman" panose="02020603050405020304" pitchFamily="18" charset="0"/>
            </a:rPr>
            <a:t>Project A</a:t>
          </a:r>
        </a:p>
      </xdr:txBody>
    </xdr:sp>
    <xdr:clientData/>
  </xdr:twoCellAnchor>
  <xdr:twoCellAnchor>
    <xdr:from>
      <xdr:col>2</xdr:col>
      <xdr:colOff>357187</xdr:colOff>
      <xdr:row>44</xdr:row>
      <xdr:rowOff>95249</xdr:rowOff>
    </xdr:from>
    <xdr:to>
      <xdr:col>7</xdr:col>
      <xdr:colOff>1047749</xdr:colOff>
      <xdr:row>69</xdr:row>
      <xdr:rowOff>138546</xdr:rowOff>
    </xdr:to>
    <xdr:graphicFrame macro="">
      <xdr:nvGraphicFramePr>
        <xdr:cNvPr id="13" name="Chart 12">
          <a:extLst>
            <a:ext uri="{FF2B5EF4-FFF2-40B4-BE49-F238E27FC236}">
              <a16:creationId xmlns:a16="http://schemas.microsoft.com/office/drawing/2014/main" id="{A25240EA-8749-42DB-9218-8A30943427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268942</xdr:colOff>
      <xdr:row>43</xdr:row>
      <xdr:rowOff>156881</xdr:rowOff>
    </xdr:from>
    <xdr:to>
      <xdr:col>2</xdr:col>
      <xdr:colOff>33617</xdr:colOff>
      <xdr:row>64</xdr:row>
      <xdr:rowOff>100851</xdr:rowOff>
    </xdr:to>
    <mc:AlternateContent xmlns:mc="http://schemas.openxmlformats.org/markup-compatibility/2006" xmlns:a14="http://schemas.microsoft.com/office/drawing/2010/main">
      <mc:Choice Requires="a14">
        <xdr:graphicFrame macro="">
          <xdr:nvGraphicFramePr>
            <xdr:cNvPr id="17" name="Year-Quarter  2">
              <a:extLst>
                <a:ext uri="{FF2B5EF4-FFF2-40B4-BE49-F238E27FC236}">
                  <a16:creationId xmlns:a16="http://schemas.microsoft.com/office/drawing/2014/main" id="{E8EBD723-429E-328D-513F-8EFD08A87FA4}"/>
                </a:ext>
              </a:extLst>
            </xdr:cNvPr>
            <xdr:cNvGraphicFramePr/>
          </xdr:nvGraphicFramePr>
          <xdr:xfrm>
            <a:off x="0" y="0"/>
            <a:ext cx="0" cy="0"/>
          </xdr:xfrm>
          <a:graphic>
            <a:graphicData uri="http://schemas.microsoft.com/office/drawing/2010/slicer">
              <sle:slicer xmlns:sle="http://schemas.microsoft.com/office/drawing/2010/slicer" name="Year-Quarter  2"/>
            </a:graphicData>
          </a:graphic>
        </xdr:graphicFrame>
      </mc:Choice>
      <mc:Fallback xmlns="">
        <xdr:sp macro="" textlink="">
          <xdr:nvSpPr>
            <xdr:cNvPr id="0" name=""/>
            <xdr:cNvSpPr>
              <a:spLocks noTextEdit="1"/>
            </xdr:cNvSpPr>
          </xdr:nvSpPr>
          <xdr:spPr>
            <a:xfrm>
              <a:off x="268942" y="9266245"/>
              <a:ext cx="2362402" cy="43081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246531</xdr:colOff>
      <xdr:row>64</xdr:row>
      <xdr:rowOff>183134</xdr:rowOff>
    </xdr:from>
    <xdr:to>
      <xdr:col>2</xdr:col>
      <xdr:colOff>22412</xdr:colOff>
      <xdr:row>70</xdr:row>
      <xdr:rowOff>3845</xdr:rowOff>
    </xdr:to>
    <mc:AlternateContent xmlns:mc="http://schemas.openxmlformats.org/markup-compatibility/2006" xmlns:a14="http://schemas.microsoft.com/office/drawing/2010/main">
      <mc:Choice Requires="a14">
        <xdr:graphicFrame macro="">
          <xdr:nvGraphicFramePr>
            <xdr:cNvPr id="16" name="Type 2">
              <a:extLst>
                <a:ext uri="{FF2B5EF4-FFF2-40B4-BE49-F238E27FC236}">
                  <a16:creationId xmlns:a16="http://schemas.microsoft.com/office/drawing/2014/main" id="{DE59F1AA-B9CB-F152-4425-9757B4C733FF}"/>
                </a:ext>
              </a:extLst>
            </xdr:cNvPr>
            <xdr:cNvGraphicFramePr/>
          </xdr:nvGraphicFramePr>
          <xdr:xfrm>
            <a:off x="0" y="0"/>
            <a:ext cx="0" cy="0"/>
          </xdr:xfrm>
          <a:graphic>
            <a:graphicData uri="http://schemas.microsoft.com/office/drawing/2010/slicer">
              <sle:slicer xmlns:sle="http://schemas.microsoft.com/office/drawing/2010/slicer" name="Type 2"/>
            </a:graphicData>
          </a:graphic>
        </xdr:graphicFrame>
      </mc:Choice>
      <mc:Fallback xmlns="">
        <xdr:sp macro="" textlink="">
          <xdr:nvSpPr>
            <xdr:cNvPr id="0" name=""/>
            <xdr:cNvSpPr>
              <a:spLocks noTextEdit="1"/>
            </xdr:cNvSpPr>
          </xdr:nvSpPr>
          <xdr:spPr>
            <a:xfrm>
              <a:off x="246531" y="13656679"/>
              <a:ext cx="2373608" cy="10676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228845</xdr:colOff>
      <xdr:row>35</xdr:row>
      <xdr:rowOff>71375</xdr:rowOff>
    </xdr:from>
    <xdr:to>
      <xdr:col>9</xdr:col>
      <xdr:colOff>299357</xdr:colOff>
      <xdr:row>42</xdr:row>
      <xdr:rowOff>185675</xdr:rowOff>
    </xdr:to>
    <xdr:sp macro="" textlink="">
      <xdr:nvSpPr>
        <xdr:cNvPr id="35" name="Rectangle: Rounded Corners 34">
          <a:extLst>
            <a:ext uri="{FF2B5EF4-FFF2-40B4-BE49-F238E27FC236}">
              <a16:creationId xmlns:a16="http://schemas.microsoft.com/office/drawing/2014/main" id="{1D45D78B-B51B-4DAF-982E-64C94E713847}"/>
            </a:ext>
          </a:extLst>
        </xdr:cNvPr>
        <xdr:cNvSpPr/>
      </xdr:nvSpPr>
      <xdr:spPr>
        <a:xfrm>
          <a:off x="8120988" y="7419232"/>
          <a:ext cx="3798869" cy="1543050"/>
        </a:xfrm>
        <a:prstGeom prst="roundRect">
          <a:avLst>
            <a:gd name="adj" fmla="val 16667"/>
          </a:avLst>
        </a:prstGeom>
        <a:solidFill>
          <a:srgbClr val="0070C0"/>
        </a:solidFill>
        <a:ln>
          <a:noFill/>
        </a:ln>
        <a:effectLst>
          <a:outerShdw blurRad="63500" sx="102000" sy="102000" algn="ctr" rotWithShape="0">
            <a:prstClr val="black">
              <a:alpha val="40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400" b="1">
              <a:solidFill>
                <a:schemeClr val="lt1"/>
              </a:solidFill>
              <a:effectLst/>
              <a:latin typeface="Times New Roman" panose="02020603050405020304" pitchFamily="18" charset="0"/>
              <a:ea typeface="+mn-ea"/>
              <a:cs typeface="Times New Roman" panose="02020603050405020304" pitchFamily="18" charset="0"/>
            </a:rPr>
            <a:t>Project</a:t>
          </a:r>
          <a:r>
            <a:rPr lang="en-US" sz="2400" b="1" baseline="0">
              <a:solidFill>
                <a:schemeClr val="lt1"/>
              </a:solidFill>
              <a:effectLst/>
              <a:latin typeface="Times New Roman" panose="02020603050405020304" pitchFamily="18" charset="0"/>
              <a:ea typeface="+mn-ea"/>
              <a:cs typeface="Times New Roman" panose="02020603050405020304" pitchFamily="18" charset="0"/>
            </a:rPr>
            <a:t> C</a:t>
          </a:r>
          <a:r>
            <a:rPr lang="en-US" sz="1400" b="1">
              <a:solidFill>
                <a:schemeClr val="lt1"/>
              </a:solidFill>
              <a:effectLst/>
              <a:latin typeface="+mn-lt"/>
              <a:ea typeface="+mn-ea"/>
              <a:cs typeface="+mn-cs"/>
            </a:rPr>
            <a:t> </a:t>
          </a:r>
          <a:endParaRPr lang="en-US" sz="1400">
            <a:effectLst/>
          </a:endParaRPr>
        </a:p>
        <a:p>
          <a:pPr algn="l"/>
          <a:endParaRPr lang="en-US" sz="1400"/>
        </a:p>
      </xdr:txBody>
    </xdr:sp>
    <xdr:clientData/>
  </xdr:twoCellAnchor>
  <xdr:twoCellAnchor>
    <xdr:from>
      <xdr:col>0</xdr:col>
      <xdr:colOff>110457</xdr:colOff>
      <xdr:row>37</xdr:row>
      <xdr:rowOff>81644</xdr:rowOff>
    </xdr:from>
    <xdr:to>
      <xdr:col>3</xdr:col>
      <xdr:colOff>367393</xdr:colOff>
      <xdr:row>38</xdr:row>
      <xdr:rowOff>190502</xdr:rowOff>
    </xdr:to>
    <xdr:sp macro="" textlink="'Project Revenue_Metrics_Outflow'!B17">
      <xdr:nvSpPr>
        <xdr:cNvPr id="36" name="TextBox 35">
          <a:extLst>
            <a:ext uri="{FF2B5EF4-FFF2-40B4-BE49-F238E27FC236}">
              <a16:creationId xmlns:a16="http://schemas.microsoft.com/office/drawing/2014/main" id="{DEA1528F-F01C-A189-EA11-CF94047DAE96}"/>
            </a:ext>
          </a:extLst>
        </xdr:cNvPr>
        <xdr:cNvSpPr txBox="1"/>
      </xdr:nvSpPr>
      <xdr:spPr>
        <a:xfrm>
          <a:off x="110457" y="7837715"/>
          <a:ext cx="3658722" cy="312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0" i="0" u="sng" strike="noStrike">
              <a:solidFill>
                <a:schemeClr val="bg1"/>
              </a:solidFill>
              <a:latin typeface="Rockwell"/>
            </a:rPr>
            <a:t>Payback:</a:t>
          </a:r>
          <a:r>
            <a:rPr lang="en-US" sz="1600" b="0" i="0" u="none" strike="noStrike">
              <a:solidFill>
                <a:schemeClr val="bg1"/>
              </a:solidFill>
              <a:latin typeface="Rockwell"/>
            </a:rPr>
            <a:t> </a:t>
          </a:r>
          <a:r>
            <a:rPr lang="en-US" sz="1600" b="0" i="0" u="none" strike="noStrike" baseline="0">
              <a:solidFill>
                <a:schemeClr val="bg1"/>
              </a:solidFill>
              <a:latin typeface="Rockwell"/>
            </a:rPr>
            <a:t>                        </a:t>
          </a:r>
          <a:fld id="{7C239410-D252-44FF-AAD9-E4BC30C8496D}" type="TxLink">
            <a:rPr lang="en-US" sz="1600" b="0" i="0" u="none" strike="noStrike">
              <a:solidFill>
                <a:schemeClr val="bg1"/>
              </a:solidFill>
              <a:latin typeface="Rockwell"/>
            </a:rPr>
            <a:pPr algn="l"/>
            <a:t>1.20 year</a:t>
          </a:fld>
          <a:endParaRPr lang="en-US" sz="1400">
            <a:solidFill>
              <a:schemeClr val="bg1"/>
            </a:solidFill>
          </a:endParaRPr>
        </a:p>
      </xdr:txBody>
    </xdr:sp>
    <xdr:clientData/>
  </xdr:twoCellAnchor>
  <xdr:twoCellAnchor>
    <xdr:from>
      <xdr:col>3</xdr:col>
      <xdr:colOff>598714</xdr:colOff>
      <xdr:row>37</xdr:row>
      <xdr:rowOff>68036</xdr:rowOff>
    </xdr:from>
    <xdr:to>
      <xdr:col>5</xdr:col>
      <xdr:colOff>816429</xdr:colOff>
      <xdr:row>38</xdr:row>
      <xdr:rowOff>149677</xdr:rowOff>
    </xdr:to>
    <xdr:sp macro="" textlink="'Project Revenue_Metrics_Outflow'!C17">
      <xdr:nvSpPr>
        <xdr:cNvPr id="37" name="TextBox 36">
          <a:extLst>
            <a:ext uri="{FF2B5EF4-FFF2-40B4-BE49-F238E27FC236}">
              <a16:creationId xmlns:a16="http://schemas.microsoft.com/office/drawing/2014/main" id="{43AD3D07-127C-E9A6-1198-654EA651E929}"/>
            </a:ext>
          </a:extLst>
        </xdr:cNvPr>
        <xdr:cNvSpPr txBox="1"/>
      </xdr:nvSpPr>
      <xdr:spPr>
        <a:xfrm>
          <a:off x="4000500" y="7824107"/>
          <a:ext cx="3592286"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600" b="0" i="0" u="sng" strike="noStrike">
              <a:solidFill>
                <a:schemeClr val="bg1"/>
              </a:solidFill>
              <a:latin typeface="Rockwell"/>
              <a:ea typeface="+mn-ea"/>
              <a:cs typeface="+mn-cs"/>
            </a:rPr>
            <a:t>Payback:</a:t>
          </a:r>
          <a:r>
            <a:rPr lang="en-US" sz="1600" b="0" i="0" u="none" strike="noStrike" baseline="0">
              <a:solidFill>
                <a:schemeClr val="bg1"/>
              </a:solidFill>
              <a:latin typeface="Rockwell"/>
              <a:ea typeface="+mn-ea"/>
              <a:cs typeface="+mn-cs"/>
            </a:rPr>
            <a:t> </a:t>
          </a:r>
          <a:r>
            <a:rPr lang="en-US" sz="1600" b="0" i="0" u="none" strike="noStrike">
              <a:solidFill>
                <a:schemeClr val="bg1"/>
              </a:solidFill>
              <a:latin typeface="Rockwell"/>
              <a:ea typeface="+mn-ea"/>
              <a:cs typeface="+mn-cs"/>
            </a:rPr>
            <a:t>                      </a:t>
          </a:r>
          <a:r>
            <a:rPr lang="en-US" sz="1600" b="0" i="0" u="none" strike="noStrike" baseline="0">
              <a:solidFill>
                <a:schemeClr val="bg1"/>
              </a:solidFill>
              <a:latin typeface="Rockwell"/>
              <a:ea typeface="+mn-ea"/>
              <a:cs typeface="+mn-cs"/>
            </a:rPr>
            <a:t>    </a:t>
          </a:r>
          <a:r>
            <a:rPr lang="en-US" sz="1600" b="0" i="0" u="none" strike="noStrike">
              <a:solidFill>
                <a:schemeClr val="bg1"/>
              </a:solidFill>
              <a:latin typeface="Rockwell"/>
              <a:ea typeface="+mn-ea"/>
              <a:cs typeface="+mn-cs"/>
            </a:rPr>
            <a:t> </a:t>
          </a:r>
          <a:fld id="{5EB31687-DE4A-45EE-A97F-6C6E753F5A54}" type="TxLink">
            <a:rPr lang="en-US" sz="1600" b="0" i="0" u="none" strike="noStrike">
              <a:solidFill>
                <a:schemeClr val="bg1"/>
              </a:solidFill>
              <a:latin typeface="Rockwell"/>
              <a:ea typeface="+mn-ea"/>
              <a:cs typeface="+mn-cs"/>
            </a:rPr>
            <a:pPr marL="0" indent="0" algn="l"/>
            <a:t>1.17 year </a:t>
          </a:fld>
          <a:endParaRPr lang="en-US" sz="1600" b="0" i="0" u="none" strike="noStrike">
            <a:solidFill>
              <a:schemeClr val="bg1"/>
            </a:solidFill>
            <a:latin typeface="Rockwell"/>
            <a:ea typeface="+mn-ea"/>
            <a:cs typeface="+mn-cs"/>
          </a:endParaRPr>
        </a:p>
      </xdr:txBody>
    </xdr:sp>
    <xdr:clientData/>
  </xdr:twoCellAnchor>
  <xdr:twoCellAnchor>
    <xdr:from>
      <xdr:col>6</xdr:col>
      <xdr:colOff>217717</xdr:colOff>
      <xdr:row>37</xdr:row>
      <xdr:rowOff>81646</xdr:rowOff>
    </xdr:from>
    <xdr:to>
      <xdr:col>9</xdr:col>
      <xdr:colOff>95250</xdr:colOff>
      <xdr:row>39</xdr:row>
      <xdr:rowOff>1603</xdr:rowOff>
    </xdr:to>
    <xdr:sp macro="" textlink="'Project Revenue_Metrics_Outflow'!D17">
      <xdr:nvSpPr>
        <xdr:cNvPr id="38" name="TextBox 37">
          <a:extLst>
            <a:ext uri="{FF2B5EF4-FFF2-40B4-BE49-F238E27FC236}">
              <a16:creationId xmlns:a16="http://schemas.microsoft.com/office/drawing/2014/main" id="{BA095781-FE0C-C56E-56F7-BEB9FC58CD80}"/>
            </a:ext>
          </a:extLst>
        </xdr:cNvPr>
        <xdr:cNvSpPr txBox="1"/>
      </xdr:nvSpPr>
      <xdr:spPr>
        <a:xfrm>
          <a:off x="8109860" y="7837717"/>
          <a:ext cx="3605890" cy="328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a:solidFill>
                <a:schemeClr val="bg1"/>
              </a:solidFill>
              <a:effectLst/>
              <a:latin typeface="+mn-lt"/>
              <a:ea typeface="+mn-ea"/>
              <a:cs typeface="+mn-cs"/>
            </a:rPr>
            <a:t>Payback:</a:t>
          </a:r>
          <a:r>
            <a:rPr lang="en-US" sz="1600" b="0" i="0" u="none" baseline="0">
              <a:solidFill>
                <a:schemeClr val="bg1"/>
              </a:solidFill>
              <a:effectLst/>
              <a:latin typeface="+mn-lt"/>
              <a:ea typeface="+mn-ea"/>
              <a:cs typeface="+mn-cs"/>
            </a:rPr>
            <a:t>                        </a:t>
          </a:r>
          <a:fld id="{D02D1B00-625A-442F-A2D8-F66F9E2328C7}" type="TxLink">
            <a:rPr lang="en-US" sz="1600" b="0" i="0" u="none" strike="noStrike">
              <a:solidFill>
                <a:schemeClr val="bg1"/>
              </a:solidFill>
              <a:latin typeface="Rockwell"/>
              <a:ea typeface="+mn-ea"/>
              <a:cs typeface="+mn-cs"/>
            </a:rPr>
            <a:pPr marL="0" indent="0"/>
            <a:t>1.06 year</a:t>
          </a:fld>
          <a:endParaRPr lang="en-US" sz="1800" b="0" i="0" u="none" strike="noStrike">
            <a:solidFill>
              <a:schemeClr val="bg1"/>
            </a:solidFill>
            <a:latin typeface="Rockwell"/>
            <a:ea typeface="+mn-ea"/>
            <a:cs typeface="+mn-cs"/>
          </a:endParaRPr>
        </a:p>
      </xdr:txBody>
    </xdr:sp>
    <xdr:clientData/>
  </xdr:twoCellAnchor>
  <xdr:twoCellAnchor>
    <xdr:from>
      <xdr:col>9</xdr:col>
      <xdr:colOff>367393</xdr:colOff>
      <xdr:row>37</xdr:row>
      <xdr:rowOff>163287</xdr:rowOff>
    </xdr:from>
    <xdr:to>
      <xdr:col>11</xdr:col>
      <xdr:colOff>1129393</xdr:colOff>
      <xdr:row>39</xdr:row>
      <xdr:rowOff>68036</xdr:rowOff>
    </xdr:to>
    <xdr:sp macro="" textlink="'Project Revenue_Metrics_Outflow'!E17">
      <xdr:nvSpPr>
        <xdr:cNvPr id="39" name="TextBox 38">
          <a:extLst>
            <a:ext uri="{FF2B5EF4-FFF2-40B4-BE49-F238E27FC236}">
              <a16:creationId xmlns:a16="http://schemas.microsoft.com/office/drawing/2014/main" id="{447179C8-933A-FF48-DD42-247BF95FAAC2}"/>
            </a:ext>
          </a:extLst>
        </xdr:cNvPr>
        <xdr:cNvSpPr txBox="1"/>
      </xdr:nvSpPr>
      <xdr:spPr>
        <a:xfrm>
          <a:off x="11987893" y="7919358"/>
          <a:ext cx="3401786"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strike="noStrike">
              <a:solidFill>
                <a:schemeClr val="bg1"/>
              </a:solidFill>
              <a:latin typeface="Rockwell"/>
              <a:ea typeface="+mn-ea"/>
              <a:cs typeface="+mn-cs"/>
            </a:rPr>
            <a:t>Payback:</a:t>
          </a:r>
          <a:r>
            <a:rPr lang="en-US" sz="1600" b="0" i="0" u="none" strike="noStrike" baseline="0">
              <a:solidFill>
                <a:schemeClr val="bg1"/>
              </a:solidFill>
              <a:latin typeface="Rockwell"/>
              <a:ea typeface="+mn-ea"/>
              <a:cs typeface="+mn-cs"/>
            </a:rPr>
            <a:t>                          </a:t>
          </a:r>
          <a:fld id="{78651268-3FB1-4F7A-A1D8-D7006ACF2939}" type="TxLink">
            <a:rPr lang="en-US" sz="1600" b="0" i="0" u="none" strike="noStrike">
              <a:solidFill>
                <a:schemeClr val="bg1"/>
              </a:solidFill>
              <a:latin typeface="Rockwell"/>
              <a:ea typeface="+mn-ea"/>
              <a:cs typeface="+mn-cs"/>
            </a:rPr>
            <a:pPr marL="0" indent="0"/>
            <a:t>2.29 year</a:t>
          </a:fld>
          <a:endParaRPr lang="en-US" sz="1600" b="0" i="0" u="none" strike="noStrike">
            <a:solidFill>
              <a:schemeClr val="bg1"/>
            </a:solidFill>
            <a:latin typeface="Rockwell"/>
            <a:ea typeface="+mn-ea"/>
            <a:cs typeface="+mn-cs"/>
          </a:endParaRPr>
        </a:p>
      </xdr:txBody>
    </xdr:sp>
    <xdr:clientData/>
  </xdr:twoCellAnchor>
  <xdr:twoCellAnchor>
    <xdr:from>
      <xdr:col>12</xdr:col>
      <xdr:colOff>769423</xdr:colOff>
      <xdr:row>37</xdr:row>
      <xdr:rowOff>55010</xdr:rowOff>
    </xdr:from>
    <xdr:to>
      <xdr:col>15</xdr:col>
      <xdr:colOff>569025</xdr:colOff>
      <xdr:row>38</xdr:row>
      <xdr:rowOff>173181</xdr:rowOff>
    </xdr:to>
    <xdr:sp macro="" textlink="'Project Revenue_Metrics_Outflow'!F17">
      <xdr:nvSpPr>
        <xdr:cNvPr id="40" name="TextBox 39">
          <a:extLst>
            <a:ext uri="{FF2B5EF4-FFF2-40B4-BE49-F238E27FC236}">
              <a16:creationId xmlns:a16="http://schemas.microsoft.com/office/drawing/2014/main" id="{5B40B203-F8B6-480F-BEE8-782B2F48A91A}"/>
            </a:ext>
          </a:extLst>
        </xdr:cNvPr>
        <xdr:cNvSpPr txBox="1"/>
      </xdr:nvSpPr>
      <xdr:spPr>
        <a:xfrm>
          <a:off x="16425059" y="7917465"/>
          <a:ext cx="3349830" cy="325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strike="noStrike">
              <a:solidFill>
                <a:schemeClr val="bg1"/>
              </a:solidFill>
              <a:latin typeface="Rockwell"/>
              <a:ea typeface="+mn-ea"/>
              <a:cs typeface="+mn-cs"/>
            </a:rPr>
            <a:t>Payback:</a:t>
          </a:r>
          <a:r>
            <a:rPr lang="en-US" sz="1600" b="0" i="0" u="none" strike="noStrike" baseline="0">
              <a:solidFill>
                <a:schemeClr val="bg1"/>
              </a:solidFill>
              <a:latin typeface="Rockwell"/>
              <a:ea typeface="+mn-ea"/>
              <a:cs typeface="+mn-cs"/>
            </a:rPr>
            <a:t>                         </a:t>
          </a:r>
          <a:fld id="{2B3D0863-D897-4A1C-9E54-6B0E6363EC13}" type="TxLink">
            <a:rPr lang="en-US" sz="1600" b="0" i="0" u="none" strike="noStrike">
              <a:solidFill>
                <a:schemeClr val="bg1"/>
              </a:solidFill>
              <a:latin typeface="Rockwell"/>
              <a:ea typeface="+mn-ea"/>
              <a:cs typeface="+mn-cs"/>
            </a:rPr>
            <a:pPr marL="0" indent="0"/>
            <a:t>0.13 year</a:t>
          </a:fld>
          <a:endParaRPr lang="en-US" sz="1600" b="0" i="0" u="none" strike="noStrike">
            <a:solidFill>
              <a:schemeClr val="bg1"/>
            </a:solidFill>
            <a:latin typeface="Rockwell"/>
            <a:ea typeface="+mn-ea"/>
            <a:cs typeface="+mn-cs"/>
          </a:endParaRPr>
        </a:p>
      </xdr:txBody>
    </xdr:sp>
    <xdr:clientData/>
  </xdr:twoCellAnchor>
  <xdr:twoCellAnchor>
    <xdr:from>
      <xdr:col>0</xdr:col>
      <xdr:colOff>85645</xdr:colOff>
      <xdr:row>38</xdr:row>
      <xdr:rowOff>136071</xdr:rowOff>
    </xdr:from>
    <xdr:to>
      <xdr:col>3</xdr:col>
      <xdr:colOff>204107</xdr:colOff>
      <xdr:row>40</xdr:row>
      <xdr:rowOff>22412</xdr:rowOff>
    </xdr:to>
    <xdr:sp macro="" textlink="'Project Revenue_Metrics_Outflow'!B18">
      <xdr:nvSpPr>
        <xdr:cNvPr id="45" name="TextBox 44">
          <a:extLst>
            <a:ext uri="{FF2B5EF4-FFF2-40B4-BE49-F238E27FC236}">
              <a16:creationId xmlns:a16="http://schemas.microsoft.com/office/drawing/2014/main" id="{85826693-8789-94A5-81A2-0CE4B05384DB}"/>
            </a:ext>
          </a:extLst>
        </xdr:cNvPr>
        <xdr:cNvSpPr txBox="1"/>
      </xdr:nvSpPr>
      <xdr:spPr>
        <a:xfrm>
          <a:off x="85645" y="8096250"/>
          <a:ext cx="3520248" cy="294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600" b="0" i="0" u="sng" strike="noStrike">
              <a:solidFill>
                <a:schemeClr val="bg1"/>
              </a:solidFill>
              <a:latin typeface="+mn-lt"/>
              <a:ea typeface="+mn-ea"/>
              <a:cs typeface="+mn-cs"/>
            </a:rPr>
            <a:t>Profitability Index:</a:t>
          </a:r>
          <a:r>
            <a:rPr lang="en-US" sz="1600" b="0" i="0" u="none" strike="noStrike">
              <a:solidFill>
                <a:schemeClr val="bg1"/>
              </a:solidFill>
              <a:latin typeface="+mn-lt"/>
              <a:ea typeface="+mn-ea"/>
              <a:cs typeface="+mn-cs"/>
            </a:rPr>
            <a:t>        </a:t>
          </a:r>
          <a:fld id="{20AC702F-0A2A-4012-B43E-197C363FE928}" type="TxLink">
            <a:rPr lang="en-US" sz="1600" b="0" i="0" u="none" strike="noStrike">
              <a:solidFill>
                <a:schemeClr val="bg1"/>
              </a:solidFill>
              <a:latin typeface="Rockwell"/>
              <a:ea typeface="+mn-ea"/>
              <a:cs typeface="+mn-cs"/>
            </a:rPr>
            <a:pPr marL="0" indent="0" algn="l"/>
            <a:t>1.49</a:t>
          </a:fld>
          <a:endParaRPr lang="en-US" sz="1600" b="0" i="0" u="none" strike="noStrike">
            <a:solidFill>
              <a:schemeClr val="bg1"/>
            </a:solidFill>
            <a:latin typeface="Rockwell"/>
            <a:ea typeface="+mn-ea"/>
            <a:cs typeface="+mn-cs"/>
          </a:endParaRPr>
        </a:p>
      </xdr:txBody>
    </xdr:sp>
    <xdr:clientData/>
  </xdr:twoCellAnchor>
  <xdr:twoCellAnchor>
    <xdr:from>
      <xdr:col>0</xdr:col>
      <xdr:colOff>99252</xdr:colOff>
      <xdr:row>39</xdr:row>
      <xdr:rowOff>149677</xdr:rowOff>
    </xdr:from>
    <xdr:to>
      <xdr:col>3</xdr:col>
      <xdr:colOff>340178</xdr:colOff>
      <xdr:row>41</xdr:row>
      <xdr:rowOff>138471</xdr:rowOff>
    </xdr:to>
    <xdr:sp macro="" textlink="'Project Revenue_Metrics_Outflow'!B19">
      <xdr:nvSpPr>
        <xdr:cNvPr id="46" name="TextBox 45">
          <a:extLst>
            <a:ext uri="{FF2B5EF4-FFF2-40B4-BE49-F238E27FC236}">
              <a16:creationId xmlns:a16="http://schemas.microsoft.com/office/drawing/2014/main" id="{7A04C324-8593-DD23-31C7-266C6B8F2B07}"/>
            </a:ext>
          </a:extLst>
        </xdr:cNvPr>
        <xdr:cNvSpPr txBox="1"/>
      </xdr:nvSpPr>
      <xdr:spPr>
        <a:xfrm>
          <a:off x="99252" y="8313963"/>
          <a:ext cx="3642712" cy="397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600" b="0" i="0" u="sng" strike="noStrike">
              <a:solidFill>
                <a:schemeClr val="bg1"/>
              </a:solidFill>
              <a:latin typeface="+mn-lt"/>
              <a:ea typeface="+mn-ea"/>
              <a:cs typeface="+mn-cs"/>
            </a:rPr>
            <a:t>NPV:</a:t>
          </a:r>
          <a:r>
            <a:rPr lang="en-US" sz="1600" b="0" i="0" u="none" strike="noStrike">
              <a:solidFill>
                <a:schemeClr val="bg1"/>
              </a:solidFill>
              <a:latin typeface="+mn-lt"/>
              <a:ea typeface="+mn-ea"/>
              <a:cs typeface="+mn-cs"/>
            </a:rPr>
            <a:t>                                </a:t>
          </a:r>
          <a:r>
            <a:rPr lang="en-US" sz="1600" b="0" i="0" u="none" strike="noStrike" baseline="0">
              <a:solidFill>
                <a:schemeClr val="bg1"/>
              </a:solidFill>
              <a:latin typeface="+mn-lt"/>
              <a:ea typeface="+mn-ea"/>
              <a:cs typeface="+mn-cs"/>
            </a:rPr>
            <a:t> </a:t>
          </a:r>
          <a:fld id="{5EEE303B-DEC8-4A1E-8907-6A0CC62A893F}" type="TxLink">
            <a:rPr lang="en-US" sz="1600" b="0" i="0" u="none" strike="noStrike">
              <a:solidFill>
                <a:schemeClr val="bg1"/>
              </a:solidFill>
              <a:latin typeface="+mn-lt"/>
              <a:ea typeface="+mn-ea"/>
              <a:cs typeface="+mn-cs"/>
            </a:rPr>
            <a:pPr marL="0" indent="0" algn="l"/>
            <a:t>RM121,634</a:t>
          </a:fld>
          <a:endParaRPr lang="en-US" sz="1600" b="0" i="0" u="none" strike="noStrike">
            <a:solidFill>
              <a:schemeClr val="bg1"/>
            </a:solidFill>
            <a:latin typeface="+mn-lt"/>
            <a:ea typeface="+mn-ea"/>
            <a:cs typeface="+mn-cs"/>
          </a:endParaRPr>
        </a:p>
      </xdr:txBody>
    </xdr:sp>
    <xdr:clientData/>
  </xdr:twoCellAnchor>
  <xdr:twoCellAnchor>
    <xdr:from>
      <xdr:col>0</xdr:col>
      <xdr:colOff>85646</xdr:colOff>
      <xdr:row>40</xdr:row>
      <xdr:rowOff>190500</xdr:rowOff>
    </xdr:from>
    <xdr:to>
      <xdr:col>3</xdr:col>
      <xdr:colOff>408214</xdr:colOff>
      <xdr:row>42</xdr:row>
      <xdr:rowOff>93650</xdr:rowOff>
    </xdr:to>
    <xdr:sp macro="" textlink="'Project Revenue_Metrics_Outflow'!B20">
      <xdr:nvSpPr>
        <xdr:cNvPr id="47" name="TextBox 46">
          <a:extLst>
            <a:ext uri="{FF2B5EF4-FFF2-40B4-BE49-F238E27FC236}">
              <a16:creationId xmlns:a16="http://schemas.microsoft.com/office/drawing/2014/main" id="{2B37833C-7709-5F47-B49A-C7D5649368DE}"/>
            </a:ext>
          </a:extLst>
        </xdr:cNvPr>
        <xdr:cNvSpPr txBox="1"/>
      </xdr:nvSpPr>
      <xdr:spPr>
        <a:xfrm>
          <a:off x="85646" y="8558893"/>
          <a:ext cx="3724354" cy="311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600" b="0" i="0" u="sng" strike="noStrike">
              <a:solidFill>
                <a:schemeClr val="bg1"/>
              </a:solidFill>
              <a:latin typeface="+mn-lt"/>
              <a:ea typeface="+mn-ea"/>
              <a:cs typeface="+mn-cs"/>
            </a:rPr>
            <a:t>IRR:</a:t>
          </a:r>
          <a:r>
            <a:rPr lang="en-US" sz="1600" b="0" i="0" u="none" strike="noStrike" baseline="0">
              <a:solidFill>
                <a:schemeClr val="bg1"/>
              </a:solidFill>
              <a:latin typeface="+mn-lt"/>
              <a:ea typeface="+mn-ea"/>
              <a:cs typeface="+mn-cs"/>
            </a:rPr>
            <a:t>                                   </a:t>
          </a:r>
          <a:fld id="{3ED2CD72-4F96-4D12-8833-FEE8742ED444}" type="TxLink">
            <a:rPr lang="en-US" sz="1600" b="0" i="0" u="none" strike="noStrike">
              <a:solidFill>
                <a:schemeClr val="bg1"/>
              </a:solidFill>
              <a:latin typeface="+mn-lt"/>
              <a:ea typeface="+mn-ea"/>
              <a:cs typeface="+mn-cs"/>
            </a:rPr>
            <a:pPr marL="0" indent="0" algn="l"/>
            <a:t>19%</a:t>
          </a:fld>
          <a:endParaRPr lang="en-US" sz="1600" b="0" i="0" u="none" strike="noStrike">
            <a:solidFill>
              <a:schemeClr val="bg1"/>
            </a:solidFill>
            <a:latin typeface="+mn-lt"/>
            <a:ea typeface="+mn-ea"/>
            <a:cs typeface="+mn-cs"/>
          </a:endParaRPr>
        </a:p>
      </xdr:txBody>
    </xdr:sp>
    <xdr:clientData/>
  </xdr:twoCellAnchor>
  <xdr:twoCellAnchor>
    <xdr:from>
      <xdr:col>3</xdr:col>
      <xdr:colOff>592456</xdr:colOff>
      <xdr:row>38</xdr:row>
      <xdr:rowOff>108194</xdr:rowOff>
    </xdr:from>
    <xdr:to>
      <xdr:col>5</xdr:col>
      <xdr:colOff>843642</xdr:colOff>
      <xdr:row>40</xdr:row>
      <xdr:rowOff>0</xdr:rowOff>
    </xdr:to>
    <xdr:sp macro="" textlink="'Project Revenue_Metrics_Outflow'!C18">
      <xdr:nvSpPr>
        <xdr:cNvPr id="50" name="TextBox 49">
          <a:extLst>
            <a:ext uri="{FF2B5EF4-FFF2-40B4-BE49-F238E27FC236}">
              <a16:creationId xmlns:a16="http://schemas.microsoft.com/office/drawing/2014/main" id="{26D5CD03-3C5E-4B36-BD37-1D80652218D7}"/>
            </a:ext>
          </a:extLst>
        </xdr:cNvPr>
        <xdr:cNvSpPr txBox="1"/>
      </xdr:nvSpPr>
      <xdr:spPr>
        <a:xfrm>
          <a:off x="3994242" y="8068373"/>
          <a:ext cx="3625757" cy="30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600" b="0" i="0" u="sng" strike="noStrike">
              <a:solidFill>
                <a:schemeClr val="bg1"/>
              </a:solidFill>
              <a:latin typeface="Rockwell"/>
              <a:ea typeface="+mn-ea"/>
              <a:cs typeface="+mn-cs"/>
            </a:rPr>
            <a:t>Profitability Index:</a:t>
          </a:r>
          <a:r>
            <a:rPr lang="en-US" sz="1600" b="0" i="0" u="none" strike="noStrike" baseline="0">
              <a:solidFill>
                <a:schemeClr val="bg1"/>
              </a:solidFill>
              <a:latin typeface="Rockwell"/>
              <a:ea typeface="+mn-ea"/>
              <a:cs typeface="+mn-cs"/>
            </a:rPr>
            <a:t>        </a:t>
          </a:r>
          <a:r>
            <a:rPr lang="en-US" sz="1600" b="0" i="0" u="none" strike="noStrike">
              <a:solidFill>
                <a:schemeClr val="bg1"/>
              </a:solidFill>
              <a:latin typeface="Rockwell"/>
              <a:ea typeface="+mn-ea"/>
              <a:cs typeface="+mn-cs"/>
            </a:rPr>
            <a:t>   </a:t>
          </a:r>
          <a:fld id="{26381C76-EA0A-46A1-B919-1327B06F1D70}" type="TxLink">
            <a:rPr lang="en-US" sz="1600" b="0" i="0" u="none" strike="noStrike">
              <a:solidFill>
                <a:schemeClr val="bg1"/>
              </a:solidFill>
              <a:latin typeface="Rockwell"/>
              <a:ea typeface="+mn-ea"/>
              <a:cs typeface="+mn-cs"/>
            </a:rPr>
            <a:pPr marL="0" indent="0" algn="l"/>
            <a:t>1.60</a:t>
          </a:fld>
          <a:endParaRPr lang="en-US" sz="1600" b="0" i="0" u="none" strike="noStrike">
            <a:solidFill>
              <a:schemeClr val="bg1"/>
            </a:solidFill>
            <a:latin typeface="Rockwell"/>
            <a:ea typeface="+mn-ea"/>
            <a:cs typeface="+mn-cs"/>
          </a:endParaRPr>
        </a:p>
      </xdr:txBody>
    </xdr:sp>
    <xdr:clientData/>
  </xdr:twoCellAnchor>
  <xdr:twoCellAnchor>
    <xdr:from>
      <xdr:col>3</xdr:col>
      <xdr:colOff>598721</xdr:colOff>
      <xdr:row>39</xdr:row>
      <xdr:rowOff>163285</xdr:rowOff>
    </xdr:from>
    <xdr:to>
      <xdr:col>5</xdr:col>
      <xdr:colOff>870857</xdr:colOff>
      <xdr:row>41</xdr:row>
      <xdr:rowOff>7443</xdr:rowOff>
    </xdr:to>
    <xdr:sp macro="" textlink="'Project Revenue_Metrics_Outflow'!C19">
      <xdr:nvSpPr>
        <xdr:cNvPr id="51" name="TextBox 50">
          <a:extLst>
            <a:ext uri="{FF2B5EF4-FFF2-40B4-BE49-F238E27FC236}">
              <a16:creationId xmlns:a16="http://schemas.microsoft.com/office/drawing/2014/main" id="{2971E089-FC0C-4090-A8AF-D87B462325D6}"/>
            </a:ext>
          </a:extLst>
        </xdr:cNvPr>
        <xdr:cNvSpPr txBox="1"/>
      </xdr:nvSpPr>
      <xdr:spPr>
        <a:xfrm>
          <a:off x="4000507" y="8327571"/>
          <a:ext cx="3646707" cy="252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600" b="0" i="0" u="sng" strike="noStrike">
              <a:solidFill>
                <a:schemeClr val="bg1"/>
              </a:solidFill>
              <a:latin typeface="Rockwell"/>
              <a:ea typeface="+mn-ea"/>
              <a:cs typeface="+mn-cs"/>
            </a:rPr>
            <a:t>NPV:</a:t>
          </a:r>
          <a:r>
            <a:rPr lang="en-US" sz="1600" b="0" i="0" u="none" strike="noStrike">
              <a:solidFill>
                <a:schemeClr val="bg1"/>
              </a:solidFill>
              <a:latin typeface="Rockwell"/>
              <a:ea typeface="+mn-ea"/>
              <a:cs typeface="+mn-cs"/>
            </a:rPr>
            <a:t>                                    </a:t>
          </a:r>
          <a:fld id="{3C25681B-2317-4684-9093-43B2EE11DF3D}" type="TxLink">
            <a:rPr lang="en-US" sz="1600" b="0" i="0" u="none" strike="noStrike">
              <a:solidFill>
                <a:schemeClr val="bg1"/>
              </a:solidFill>
              <a:latin typeface="Rockwell"/>
              <a:ea typeface="+mn-ea"/>
              <a:cs typeface="+mn-cs"/>
            </a:rPr>
            <a:pPr marL="0" indent="0" algn="l"/>
            <a:t>RM59,949</a:t>
          </a:fld>
          <a:endParaRPr lang="en-US" sz="1600" b="0" i="0" u="none" strike="noStrike">
            <a:solidFill>
              <a:schemeClr val="bg1"/>
            </a:solidFill>
            <a:latin typeface="Rockwell"/>
            <a:ea typeface="+mn-ea"/>
            <a:cs typeface="+mn-cs"/>
          </a:endParaRPr>
        </a:p>
      </xdr:txBody>
    </xdr:sp>
    <xdr:clientData/>
  </xdr:twoCellAnchor>
  <xdr:twoCellAnchor>
    <xdr:from>
      <xdr:col>3</xdr:col>
      <xdr:colOff>602432</xdr:colOff>
      <xdr:row>41</xdr:row>
      <xdr:rowOff>0</xdr:rowOff>
    </xdr:from>
    <xdr:to>
      <xdr:col>5</xdr:col>
      <xdr:colOff>544286</xdr:colOff>
      <xdr:row>42</xdr:row>
      <xdr:rowOff>39606</xdr:rowOff>
    </xdr:to>
    <xdr:sp macro="" textlink="'Project Revenue_Metrics_Outflow'!C20">
      <xdr:nvSpPr>
        <xdr:cNvPr id="52" name="TextBox 51">
          <a:extLst>
            <a:ext uri="{FF2B5EF4-FFF2-40B4-BE49-F238E27FC236}">
              <a16:creationId xmlns:a16="http://schemas.microsoft.com/office/drawing/2014/main" id="{896E4EBC-4680-4699-8BB8-DDB2CCAB7D48}"/>
            </a:ext>
          </a:extLst>
        </xdr:cNvPr>
        <xdr:cNvSpPr txBox="1"/>
      </xdr:nvSpPr>
      <xdr:spPr>
        <a:xfrm>
          <a:off x="4004218" y="8572500"/>
          <a:ext cx="3316425" cy="243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600" b="0" i="0" u="sng" strike="noStrike">
              <a:solidFill>
                <a:schemeClr val="bg1"/>
              </a:solidFill>
              <a:latin typeface="Rockwell"/>
              <a:ea typeface="+mn-ea"/>
              <a:cs typeface="+mn-cs"/>
            </a:rPr>
            <a:t>IRR:</a:t>
          </a:r>
          <a:r>
            <a:rPr lang="en-US" sz="1600" b="0" i="0" u="none" strike="noStrike">
              <a:solidFill>
                <a:schemeClr val="bg1"/>
              </a:solidFill>
              <a:latin typeface="Rockwell"/>
              <a:ea typeface="+mn-ea"/>
              <a:cs typeface="+mn-cs"/>
            </a:rPr>
            <a:t>                                      </a:t>
          </a:r>
          <a:fld id="{FCD06051-AC67-4951-B022-C07160A95370}" type="TxLink">
            <a:rPr lang="en-US" sz="1600" b="0" i="0" u="none" strike="noStrike">
              <a:solidFill>
                <a:schemeClr val="bg1"/>
              </a:solidFill>
              <a:latin typeface="Rockwell"/>
              <a:ea typeface="+mn-ea"/>
              <a:cs typeface="+mn-cs"/>
            </a:rPr>
            <a:pPr marL="0" indent="0" algn="l"/>
            <a:t>20%</a:t>
          </a:fld>
          <a:endParaRPr lang="en-US" sz="1600" b="0" i="0" u="none" strike="noStrike">
            <a:solidFill>
              <a:schemeClr val="bg1"/>
            </a:solidFill>
            <a:latin typeface="Rockwell"/>
            <a:ea typeface="+mn-ea"/>
            <a:cs typeface="+mn-cs"/>
          </a:endParaRPr>
        </a:p>
      </xdr:txBody>
    </xdr:sp>
    <xdr:clientData/>
  </xdr:twoCellAnchor>
  <xdr:twoCellAnchor>
    <xdr:from>
      <xdr:col>6</xdr:col>
      <xdr:colOff>220441</xdr:colOff>
      <xdr:row>38</xdr:row>
      <xdr:rowOff>125189</xdr:rowOff>
    </xdr:from>
    <xdr:to>
      <xdr:col>9</xdr:col>
      <xdr:colOff>97974</xdr:colOff>
      <xdr:row>40</xdr:row>
      <xdr:rowOff>45147</xdr:rowOff>
    </xdr:to>
    <xdr:sp macro="" textlink="'Project Revenue_Metrics_Outflow'!D18">
      <xdr:nvSpPr>
        <xdr:cNvPr id="53" name="TextBox 52">
          <a:extLst>
            <a:ext uri="{FF2B5EF4-FFF2-40B4-BE49-F238E27FC236}">
              <a16:creationId xmlns:a16="http://schemas.microsoft.com/office/drawing/2014/main" id="{2DE4916A-1811-4D7A-8576-178BE73B109E}"/>
            </a:ext>
          </a:extLst>
        </xdr:cNvPr>
        <xdr:cNvSpPr txBox="1"/>
      </xdr:nvSpPr>
      <xdr:spPr>
        <a:xfrm>
          <a:off x="8112584" y="8085368"/>
          <a:ext cx="3605890" cy="328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strike="noStrike">
              <a:solidFill>
                <a:schemeClr val="bg1"/>
              </a:solidFill>
              <a:effectLst/>
              <a:latin typeface="+mn-lt"/>
              <a:ea typeface="+mn-ea"/>
              <a:cs typeface="+mn-cs"/>
            </a:rPr>
            <a:t>Profitability Index:</a:t>
          </a:r>
          <a:r>
            <a:rPr lang="en-US" sz="1600">
              <a:solidFill>
                <a:schemeClr val="bg1"/>
              </a:solidFill>
            </a:rPr>
            <a:t>       </a:t>
          </a:r>
          <a:fld id="{5DF2F750-8D34-4475-B27E-9049ED777754}" type="TxLink">
            <a:rPr lang="en-US" sz="1600" b="0" i="0" u="none">
              <a:solidFill>
                <a:schemeClr val="bg1"/>
              </a:solidFill>
              <a:effectLst/>
              <a:latin typeface="+mn-lt"/>
              <a:ea typeface="+mn-ea"/>
              <a:cs typeface="+mn-cs"/>
            </a:rPr>
            <a:pPr marL="0" indent="0"/>
            <a:t>2.35</a:t>
          </a:fld>
          <a:endParaRPr lang="en-US" sz="1600" b="0" i="0" u="none">
            <a:solidFill>
              <a:schemeClr val="bg1"/>
            </a:solidFill>
            <a:effectLst/>
            <a:latin typeface="+mn-lt"/>
            <a:ea typeface="+mn-ea"/>
            <a:cs typeface="+mn-cs"/>
          </a:endParaRPr>
        </a:p>
      </xdr:txBody>
    </xdr:sp>
    <xdr:clientData/>
  </xdr:twoCellAnchor>
  <xdr:twoCellAnchor>
    <xdr:from>
      <xdr:col>6</xdr:col>
      <xdr:colOff>209553</xdr:colOff>
      <xdr:row>39</xdr:row>
      <xdr:rowOff>182338</xdr:rowOff>
    </xdr:from>
    <xdr:to>
      <xdr:col>9</xdr:col>
      <xdr:colOff>87086</xdr:colOff>
      <xdr:row>41</xdr:row>
      <xdr:rowOff>102296</xdr:rowOff>
    </xdr:to>
    <xdr:sp macro="" textlink="'Project Revenue_Metrics_Outflow'!D19">
      <xdr:nvSpPr>
        <xdr:cNvPr id="54" name="TextBox 53">
          <a:extLst>
            <a:ext uri="{FF2B5EF4-FFF2-40B4-BE49-F238E27FC236}">
              <a16:creationId xmlns:a16="http://schemas.microsoft.com/office/drawing/2014/main" id="{CD10FB4B-BBC5-4634-929B-B61EC218AAF4}"/>
            </a:ext>
          </a:extLst>
        </xdr:cNvPr>
        <xdr:cNvSpPr txBox="1"/>
      </xdr:nvSpPr>
      <xdr:spPr>
        <a:xfrm>
          <a:off x="8101696" y="8346624"/>
          <a:ext cx="3605890" cy="328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a:solidFill>
                <a:schemeClr val="bg1"/>
              </a:solidFill>
              <a:effectLst/>
              <a:latin typeface="+mn-lt"/>
              <a:ea typeface="+mn-ea"/>
              <a:cs typeface="+mn-cs"/>
            </a:rPr>
            <a:t>NPV:</a:t>
          </a:r>
          <a:r>
            <a:rPr lang="en-US" sz="1600" b="0" i="0" u="none" baseline="0">
              <a:solidFill>
                <a:schemeClr val="bg1"/>
              </a:solidFill>
              <a:effectLst/>
              <a:latin typeface="+mn-lt"/>
              <a:ea typeface="+mn-ea"/>
              <a:cs typeface="+mn-cs"/>
            </a:rPr>
            <a:t>                                </a:t>
          </a:r>
          <a:fld id="{D90EF26C-79FD-4ADE-A644-6FACC1491307}" type="TxLink">
            <a:rPr lang="en-US" sz="1600" b="0" i="0" u="none">
              <a:solidFill>
                <a:schemeClr val="bg1"/>
              </a:solidFill>
              <a:effectLst/>
              <a:latin typeface="+mn-lt"/>
              <a:ea typeface="+mn-ea"/>
              <a:cs typeface="+mn-cs"/>
            </a:rPr>
            <a:pPr marL="0" indent="0"/>
            <a:t>RM33,650</a:t>
          </a:fld>
          <a:endParaRPr lang="en-US" sz="1600" b="0" i="0" u="none">
            <a:solidFill>
              <a:schemeClr val="bg1"/>
            </a:solidFill>
            <a:effectLst/>
            <a:latin typeface="+mn-lt"/>
            <a:ea typeface="+mn-ea"/>
            <a:cs typeface="+mn-cs"/>
          </a:endParaRPr>
        </a:p>
      </xdr:txBody>
    </xdr:sp>
    <xdr:clientData/>
  </xdr:twoCellAnchor>
  <xdr:twoCellAnchor>
    <xdr:from>
      <xdr:col>6</xdr:col>
      <xdr:colOff>198668</xdr:colOff>
      <xdr:row>41</xdr:row>
      <xdr:rowOff>8169</xdr:rowOff>
    </xdr:from>
    <xdr:to>
      <xdr:col>9</xdr:col>
      <xdr:colOff>76201</xdr:colOff>
      <xdr:row>42</xdr:row>
      <xdr:rowOff>132234</xdr:rowOff>
    </xdr:to>
    <xdr:sp macro="" textlink="'Project Revenue_Metrics_Outflow'!D20">
      <xdr:nvSpPr>
        <xdr:cNvPr id="55" name="TextBox 54">
          <a:extLst>
            <a:ext uri="{FF2B5EF4-FFF2-40B4-BE49-F238E27FC236}">
              <a16:creationId xmlns:a16="http://schemas.microsoft.com/office/drawing/2014/main" id="{25F766C1-1480-4A47-84E6-772D13810EFD}"/>
            </a:ext>
          </a:extLst>
        </xdr:cNvPr>
        <xdr:cNvSpPr txBox="1"/>
      </xdr:nvSpPr>
      <xdr:spPr>
        <a:xfrm>
          <a:off x="8090811" y="8580669"/>
          <a:ext cx="3605890" cy="328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a:solidFill>
                <a:schemeClr val="bg1"/>
              </a:solidFill>
              <a:effectLst/>
              <a:latin typeface="+mn-lt"/>
              <a:ea typeface="+mn-ea"/>
              <a:cs typeface="+mn-cs"/>
            </a:rPr>
            <a:t>IRR:</a:t>
          </a:r>
          <a:r>
            <a:rPr lang="en-US" sz="1600" b="0" i="0" u="none">
              <a:solidFill>
                <a:schemeClr val="bg1"/>
              </a:solidFill>
              <a:effectLst/>
              <a:latin typeface="+mn-lt"/>
              <a:ea typeface="+mn-ea"/>
              <a:cs typeface="+mn-cs"/>
            </a:rPr>
            <a:t>                                  </a:t>
          </a:r>
          <a:fld id="{F6C1F4C6-E5E9-4DCC-A8E2-65C326F19BB3}" type="TxLink">
            <a:rPr lang="en-US" sz="1600" b="0" i="0" u="none">
              <a:solidFill>
                <a:schemeClr val="bg1"/>
              </a:solidFill>
              <a:effectLst/>
              <a:latin typeface="+mn-lt"/>
              <a:ea typeface="+mn-ea"/>
              <a:cs typeface="+mn-cs"/>
            </a:rPr>
            <a:pPr marL="0" indent="0"/>
            <a:t>28%</a:t>
          </a:fld>
          <a:endParaRPr lang="en-US" sz="1600" b="0" i="0" u="none">
            <a:solidFill>
              <a:schemeClr val="bg1"/>
            </a:solidFill>
            <a:effectLst/>
            <a:latin typeface="+mn-lt"/>
            <a:ea typeface="+mn-ea"/>
            <a:cs typeface="+mn-cs"/>
          </a:endParaRPr>
        </a:p>
      </xdr:txBody>
    </xdr:sp>
    <xdr:clientData/>
  </xdr:twoCellAnchor>
  <xdr:twoCellAnchor>
    <xdr:from>
      <xdr:col>9</xdr:col>
      <xdr:colOff>370115</xdr:colOff>
      <xdr:row>39</xdr:row>
      <xdr:rowOff>16329</xdr:rowOff>
    </xdr:from>
    <xdr:to>
      <xdr:col>11</xdr:col>
      <xdr:colOff>1132115</xdr:colOff>
      <xdr:row>40</xdr:row>
      <xdr:rowOff>125186</xdr:rowOff>
    </xdr:to>
    <xdr:sp macro="" textlink="'Project Revenue_Metrics_Outflow'!E18">
      <xdr:nvSpPr>
        <xdr:cNvPr id="56" name="TextBox 55">
          <a:extLst>
            <a:ext uri="{FF2B5EF4-FFF2-40B4-BE49-F238E27FC236}">
              <a16:creationId xmlns:a16="http://schemas.microsoft.com/office/drawing/2014/main" id="{B3924D69-BFF3-4989-84C5-E82BB8A53428}"/>
            </a:ext>
          </a:extLst>
        </xdr:cNvPr>
        <xdr:cNvSpPr txBox="1"/>
      </xdr:nvSpPr>
      <xdr:spPr>
        <a:xfrm>
          <a:off x="11990615" y="8180615"/>
          <a:ext cx="3401786"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strike="noStrike">
              <a:solidFill>
                <a:schemeClr val="bg1"/>
              </a:solidFill>
              <a:latin typeface="+mn-lt"/>
              <a:ea typeface="+mn-ea"/>
              <a:cs typeface="+mn-cs"/>
            </a:rPr>
            <a:t>Profitability Index:</a:t>
          </a:r>
          <a:r>
            <a:rPr lang="en-US" sz="1600" b="0" i="0" u="none" strike="noStrike">
              <a:solidFill>
                <a:schemeClr val="bg1"/>
              </a:solidFill>
              <a:latin typeface="+mn-lt"/>
              <a:ea typeface="+mn-ea"/>
              <a:cs typeface="+mn-cs"/>
            </a:rPr>
            <a:t>         </a:t>
          </a:r>
          <a:fld id="{973DAEB7-5F3A-46E2-B8A3-7E170490E425}" type="TxLink">
            <a:rPr lang="en-US" sz="1600" b="0" i="0" u="none" strike="noStrike">
              <a:solidFill>
                <a:schemeClr val="bg1"/>
              </a:solidFill>
              <a:latin typeface="Rockwell"/>
              <a:ea typeface="+mn-ea"/>
              <a:cs typeface="+mn-cs"/>
            </a:rPr>
            <a:pPr marL="0" indent="0"/>
            <a:t>0.75</a:t>
          </a:fld>
          <a:endParaRPr lang="en-US" sz="1600" b="0" i="0" u="none" strike="noStrike">
            <a:solidFill>
              <a:schemeClr val="bg1"/>
            </a:solidFill>
            <a:latin typeface="Rockwell"/>
            <a:ea typeface="+mn-ea"/>
            <a:cs typeface="+mn-cs"/>
          </a:endParaRPr>
        </a:p>
      </xdr:txBody>
    </xdr:sp>
    <xdr:clientData/>
  </xdr:twoCellAnchor>
  <xdr:twoCellAnchor>
    <xdr:from>
      <xdr:col>9</xdr:col>
      <xdr:colOff>372838</xdr:colOff>
      <xdr:row>40</xdr:row>
      <xdr:rowOff>40821</xdr:rowOff>
    </xdr:from>
    <xdr:to>
      <xdr:col>11</xdr:col>
      <xdr:colOff>1238249</xdr:colOff>
      <xdr:row>41</xdr:row>
      <xdr:rowOff>155124</xdr:rowOff>
    </xdr:to>
    <xdr:sp macro="" textlink="'Project Revenue_Metrics_Outflow'!E19">
      <xdr:nvSpPr>
        <xdr:cNvPr id="57" name="TextBox 56">
          <a:extLst>
            <a:ext uri="{FF2B5EF4-FFF2-40B4-BE49-F238E27FC236}">
              <a16:creationId xmlns:a16="http://schemas.microsoft.com/office/drawing/2014/main" id="{99B3E891-D5CA-41DE-9506-5228FF74870A}"/>
            </a:ext>
          </a:extLst>
        </xdr:cNvPr>
        <xdr:cNvSpPr txBox="1"/>
      </xdr:nvSpPr>
      <xdr:spPr>
        <a:xfrm>
          <a:off x="11993338" y="8409214"/>
          <a:ext cx="3505197" cy="318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strike="noStrike">
              <a:solidFill>
                <a:schemeClr val="bg1"/>
              </a:solidFill>
              <a:latin typeface="Rockwell"/>
              <a:ea typeface="+mn-ea"/>
              <a:cs typeface="+mn-cs"/>
            </a:rPr>
            <a:t>NPV:</a:t>
          </a:r>
          <a:r>
            <a:rPr lang="en-US" sz="1600" b="0" i="0" u="none" strike="noStrike">
              <a:solidFill>
                <a:schemeClr val="bg1"/>
              </a:solidFill>
              <a:latin typeface="Rockwell"/>
              <a:ea typeface="+mn-ea"/>
              <a:cs typeface="+mn-cs"/>
            </a:rPr>
            <a:t>                               </a:t>
          </a:r>
          <a:r>
            <a:rPr lang="en-US" sz="1600" b="0" i="0" u="none" strike="noStrike" baseline="0">
              <a:solidFill>
                <a:schemeClr val="bg1"/>
              </a:solidFill>
              <a:latin typeface="Rockwell"/>
              <a:ea typeface="+mn-ea"/>
              <a:cs typeface="+mn-cs"/>
            </a:rPr>
            <a:t> </a:t>
          </a:r>
          <a:r>
            <a:rPr lang="en-US" sz="1600" b="0" i="0" u="none" strike="noStrike">
              <a:solidFill>
                <a:schemeClr val="bg1"/>
              </a:solidFill>
              <a:latin typeface="Rockwell"/>
              <a:ea typeface="+mn-ea"/>
              <a:cs typeface="+mn-cs"/>
            </a:rPr>
            <a:t> </a:t>
          </a:r>
          <a:fld id="{C9A39F51-0239-4577-9644-2A7F243C4D3A}" type="TxLink">
            <a:rPr lang="en-US" sz="1600" b="0" i="0" u="none" strike="noStrike">
              <a:solidFill>
                <a:schemeClr val="bg1"/>
              </a:solidFill>
              <a:latin typeface="Rockwell"/>
              <a:ea typeface="+mn-ea"/>
              <a:cs typeface="+mn-cs"/>
            </a:rPr>
            <a:pPr marL="0" indent="0"/>
            <a:t>-RM177,651</a:t>
          </a:fld>
          <a:endParaRPr lang="en-US" sz="1600" b="0" i="0" u="none" strike="noStrike">
            <a:solidFill>
              <a:schemeClr val="bg1"/>
            </a:solidFill>
            <a:latin typeface="Rockwell"/>
            <a:ea typeface="+mn-ea"/>
            <a:cs typeface="+mn-cs"/>
          </a:endParaRPr>
        </a:p>
      </xdr:txBody>
    </xdr:sp>
    <xdr:clientData/>
  </xdr:twoCellAnchor>
  <xdr:twoCellAnchor>
    <xdr:from>
      <xdr:col>9</xdr:col>
      <xdr:colOff>375560</xdr:colOff>
      <xdr:row>41</xdr:row>
      <xdr:rowOff>48987</xdr:rowOff>
    </xdr:from>
    <xdr:to>
      <xdr:col>11</xdr:col>
      <xdr:colOff>1137560</xdr:colOff>
      <xdr:row>42</xdr:row>
      <xdr:rowOff>157844</xdr:rowOff>
    </xdr:to>
    <xdr:sp macro="" textlink="'Project Revenue_Metrics_Outflow'!E20">
      <xdr:nvSpPr>
        <xdr:cNvPr id="58" name="TextBox 57">
          <a:extLst>
            <a:ext uri="{FF2B5EF4-FFF2-40B4-BE49-F238E27FC236}">
              <a16:creationId xmlns:a16="http://schemas.microsoft.com/office/drawing/2014/main" id="{5FF28BC9-15DB-4C85-B3F6-6A7F70C925BA}"/>
            </a:ext>
          </a:extLst>
        </xdr:cNvPr>
        <xdr:cNvSpPr txBox="1"/>
      </xdr:nvSpPr>
      <xdr:spPr>
        <a:xfrm>
          <a:off x="11996060" y="8621487"/>
          <a:ext cx="3401786" cy="31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strike="noStrike">
              <a:solidFill>
                <a:schemeClr val="bg1"/>
              </a:solidFill>
              <a:latin typeface="Rockwell"/>
              <a:ea typeface="+mn-ea"/>
              <a:cs typeface="+mn-cs"/>
            </a:rPr>
            <a:t>IRR:</a:t>
          </a:r>
          <a:r>
            <a:rPr lang="en-US" sz="1600" b="0" i="0" u="none" strike="noStrike" baseline="0">
              <a:solidFill>
                <a:schemeClr val="bg1"/>
              </a:solidFill>
              <a:latin typeface="Rockwell"/>
              <a:ea typeface="+mn-ea"/>
              <a:cs typeface="+mn-cs"/>
            </a:rPr>
            <a:t>                                    </a:t>
          </a:r>
          <a:fld id="{D87E2DC4-099E-44DF-AD96-032AEAE45047}" type="TxLink">
            <a:rPr lang="en-US" sz="1600" b="0" i="0" u="none" strike="noStrike">
              <a:solidFill>
                <a:schemeClr val="bg1"/>
              </a:solidFill>
              <a:latin typeface="Rockwell"/>
              <a:ea typeface="+mn-ea"/>
              <a:cs typeface="+mn-cs"/>
            </a:rPr>
            <a:pPr marL="0" indent="0"/>
            <a:t>5%</a:t>
          </a:fld>
          <a:endParaRPr lang="en-US" sz="1600" b="0" i="0" u="none" strike="noStrike">
            <a:solidFill>
              <a:schemeClr val="bg1"/>
            </a:solidFill>
            <a:latin typeface="Rockwell"/>
            <a:ea typeface="+mn-ea"/>
            <a:cs typeface="+mn-cs"/>
          </a:endParaRPr>
        </a:p>
      </xdr:txBody>
    </xdr:sp>
    <xdr:clientData/>
  </xdr:twoCellAnchor>
  <xdr:twoCellAnchor>
    <xdr:from>
      <xdr:col>12</xdr:col>
      <xdr:colOff>772146</xdr:colOff>
      <xdr:row>38</xdr:row>
      <xdr:rowOff>84946</xdr:rowOff>
    </xdr:from>
    <xdr:to>
      <xdr:col>15</xdr:col>
      <xdr:colOff>571748</xdr:colOff>
      <xdr:row>39</xdr:row>
      <xdr:rowOff>203118</xdr:rowOff>
    </xdr:to>
    <xdr:sp macro="" textlink="'Project Revenue_Metrics_Outflow'!F18">
      <xdr:nvSpPr>
        <xdr:cNvPr id="59" name="TextBox 58">
          <a:extLst>
            <a:ext uri="{FF2B5EF4-FFF2-40B4-BE49-F238E27FC236}">
              <a16:creationId xmlns:a16="http://schemas.microsoft.com/office/drawing/2014/main" id="{6FB1DE14-C86E-4626-BB4A-2311A359B21E}"/>
            </a:ext>
          </a:extLst>
        </xdr:cNvPr>
        <xdr:cNvSpPr txBox="1"/>
      </xdr:nvSpPr>
      <xdr:spPr>
        <a:xfrm>
          <a:off x="16427782" y="8155219"/>
          <a:ext cx="3349830" cy="325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strike="noStrike">
              <a:solidFill>
                <a:schemeClr val="bg1"/>
              </a:solidFill>
              <a:effectLst/>
              <a:latin typeface="+mn-lt"/>
              <a:ea typeface="+mn-ea"/>
              <a:cs typeface="+mn-cs"/>
            </a:rPr>
            <a:t>Profitability Index:</a:t>
          </a:r>
          <a:r>
            <a:rPr lang="en-US" sz="1600">
              <a:solidFill>
                <a:schemeClr val="bg1"/>
              </a:solidFill>
            </a:rPr>
            <a:t>      </a:t>
          </a:r>
          <a:r>
            <a:rPr lang="en-US" sz="1600" baseline="0">
              <a:solidFill>
                <a:schemeClr val="bg1"/>
              </a:solidFill>
            </a:rPr>
            <a:t> </a:t>
          </a:r>
          <a:fld id="{F0391AF1-AA2F-48F7-81A0-CC2D7687528D}" type="TxLink">
            <a:rPr lang="en-US" sz="1600" b="0" i="0" u="none" strike="noStrike">
              <a:solidFill>
                <a:schemeClr val="bg1"/>
              </a:solidFill>
              <a:latin typeface="Rockwell"/>
              <a:ea typeface="+mn-ea"/>
              <a:cs typeface="+mn-cs"/>
            </a:rPr>
            <a:pPr marL="0" indent="0"/>
            <a:t>15.65</a:t>
          </a:fld>
          <a:endParaRPr lang="en-US" sz="1600" b="0" i="0" u="none" strike="noStrike">
            <a:solidFill>
              <a:schemeClr val="bg1"/>
            </a:solidFill>
            <a:latin typeface="Rockwell"/>
            <a:ea typeface="+mn-ea"/>
            <a:cs typeface="+mn-cs"/>
          </a:endParaRPr>
        </a:p>
      </xdr:txBody>
    </xdr:sp>
    <xdr:clientData/>
  </xdr:twoCellAnchor>
  <xdr:twoCellAnchor>
    <xdr:from>
      <xdr:col>12</xdr:col>
      <xdr:colOff>761260</xdr:colOff>
      <xdr:row>40</xdr:row>
      <xdr:rowOff>142095</xdr:rowOff>
    </xdr:from>
    <xdr:to>
      <xdr:col>15</xdr:col>
      <xdr:colOff>560862</xdr:colOff>
      <xdr:row>42</xdr:row>
      <xdr:rowOff>52449</xdr:rowOff>
    </xdr:to>
    <xdr:sp macro="" textlink="'Project Revenue_Metrics_Outflow'!F20">
      <xdr:nvSpPr>
        <xdr:cNvPr id="60" name="TextBox 59">
          <a:extLst>
            <a:ext uri="{FF2B5EF4-FFF2-40B4-BE49-F238E27FC236}">
              <a16:creationId xmlns:a16="http://schemas.microsoft.com/office/drawing/2014/main" id="{D2B52A6C-16A7-42DE-B95A-D54F30AB0D68}"/>
            </a:ext>
          </a:extLst>
        </xdr:cNvPr>
        <xdr:cNvSpPr txBox="1"/>
      </xdr:nvSpPr>
      <xdr:spPr>
        <a:xfrm>
          <a:off x="16416896" y="8628004"/>
          <a:ext cx="3349830" cy="325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strike="noStrike">
              <a:solidFill>
                <a:schemeClr val="bg1"/>
              </a:solidFill>
              <a:effectLst/>
              <a:latin typeface="+mn-lt"/>
              <a:ea typeface="+mn-ea"/>
              <a:cs typeface="+mn-cs"/>
            </a:rPr>
            <a:t>IRR:</a:t>
          </a:r>
          <a:r>
            <a:rPr lang="en-US" sz="1600" b="0" i="0" u="none" strike="noStrike">
              <a:solidFill>
                <a:schemeClr val="bg1"/>
              </a:solidFill>
              <a:effectLst/>
              <a:latin typeface="+mn-lt"/>
              <a:ea typeface="+mn-ea"/>
              <a:cs typeface="+mn-cs"/>
            </a:rPr>
            <a:t>                                  </a:t>
          </a:r>
          <a:fld id="{44349AE5-5C35-48B6-8BF3-D3F247B3813F}" type="TxLink">
            <a:rPr lang="en-US" sz="1600" b="0" i="0" u="none" strike="noStrike">
              <a:solidFill>
                <a:schemeClr val="bg1"/>
              </a:solidFill>
              <a:effectLst/>
              <a:latin typeface="+mn-lt"/>
              <a:ea typeface="+mn-ea"/>
              <a:cs typeface="+mn-cs"/>
            </a:rPr>
            <a:pPr marL="0" indent="0"/>
            <a:t>201%</a:t>
          </a:fld>
          <a:endParaRPr lang="en-US" sz="1600" b="0" i="0" u="none" strike="noStrike">
            <a:solidFill>
              <a:schemeClr val="bg1"/>
            </a:solidFill>
            <a:effectLst/>
            <a:latin typeface="+mn-lt"/>
            <a:ea typeface="+mn-ea"/>
            <a:cs typeface="+mn-cs"/>
          </a:endParaRPr>
        </a:p>
      </xdr:txBody>
    </xdr:sp>
    <xdr:clientData/>
  </xdr:twoCellAnchor>
  <xdr:twoCellAnchor>
    <xdr:from>
      <xdr:col>12</xdr:col>
      <xdr:colOff>763979</xdr:colOff>
      <xdr:row>39</xdr:row>
      <xdr:rowOff>115041</xdr:rowOff>
    </xdr:from>
    <xdr:to>
      <xdr:col>15</xdr:col>
      <xdr:colOff>786740</xdr:colOff>
      <xdr:row>40</xdr:row>
      <xdr:rowOff>164028</xdr:rowOff>
    </xdr:to>
    <xdr:sp macro="" textlink="'Project Revenue_Metrics_Outflow'!F19">
      <xdr:nvSpPr>
        <xdr:cNvPr id="61" name="TextBox 60">
          <a:extLst>
            <a:ext uri="{FF2B5EF4-FFF2-40B4-BE49-F238E27FC236}">
              <a16:creationId xmlns:a16="http://schemas.microsoft.com/office/drawing/2014/main" id="{E0D21A8F-0DEF-4DEA-BA89-BB52E7D0256E}"/>
            </a:ext>
          </a:extLst>
        </xdr:cNvPr>
        <xdr:cNvSpPr txBox="1"/>
      </xdr:nvSpPr>
      <xdr:spPr>
        <a:xfrm>
          <a:off x="16419615" y="8393132"/>
          <a:ext cx="3572989" cy="256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sng" strike="noStrike">
              <a:solidFill>
                <a:schemeClr val="bg1"/>
              </a:solidFill>
              <a:effectLst/>
              <a:latin typeface="+mn-lt"/>
              <a:ea typeface="+mn-ea"/>
              <a:cs typeface="+mn-cs"/>
            </a:rPr>
            <a:t>NPV:</a:t>
          </a:r>
          <a:r>
            <a:rPr lang="en-US" sz="1600" b="0" i="0" u="none" strike="noStrike" baseline="0">
              <a:solidFill>
                <a:schemeClr val="bg1"/>
              </a:solidFill>
              <a:effectLst/>
              <a:latin typeface="+mn-lt"/>
              <a:ea typeface="+mn-ea"/>
              <a:cs typeface="+mn-cs"/>
            </a:rPr>
            <a:t>                                </a:t>
          </a:r>
          <a:fld id="{F6A78E40-2141-4880-8524-97B335B3E082}" type="TxLink">
            <a:rPr lang="en-US" sz="1600" b="0" i="0" u="none" strike="noStrike">
              <a:solidFill>
                <a:schemeClr val="bg1"/>
              </a:solidFill>
              <a:effectLst/>
              <a:latin typeface="+mn-lt"/>
              <a:ea typeface="+mn-ea"/>
              <a:cs typeface="+mn-cs"/>
            </a:rPr>
            <a:pPr marL="0" indent="0"/>
            <a:t>RM2,490,015</a:t>
          </a:fld>
          <a:endParaRPr lang="en-US" sz="1600" b="0" i="0" u="none" strike="noStrike">
            <a:solidFill>
              <a:schemeClr val="bg1"/>
            </a:solidFill>
            <a:effectLst/>
            <a:latin typeface="+mn-lt"/>
            <a:ea typeface="+mn-ea"/>
            <a:cs typeface="+mn-cs"/>
          </a:endParaRPr>
        </a:p>
      </xdr:txBody>
    </xdr:sp>
    <xdr:clientData/>
  </xdr:twoCellAnchor>
  <xdr:twoCellAnchor>
    <xdr:from>
      <xdr:col>8</xdr:col>
      <xdr:colOff>53736</xdr:colOff>
      <xdr:row>43</xdr:row>
      <xdr:rowOff>68037</xdr:rowOff>
    </xdr:from>
    <xdr:to>
      <xdr:col>15</xdr:col>
      <xdr:colOff>1023937</xdr:colOff>
      <xdr:row>72</xdr:row>
      <xdr:rowOff>103909</xdr:rowOff>
    </xdr:to>
    <xdr:sp macro="" textlink="">
      <xdr:nvSpPr>
        <xdr:cNvPr id="1027" name="Rectangle: Rounded Corners 1026">
          <a:extLst>
            <a:ext uri="{FF2B5EF4-FFF2-40B4-BE49-F238E27FC236}">
              <a16:creationId xmlns:a16="http://schemas.microsoft.com/office/drawing/2014/main" id="{B7AF0474-95B6-4CB8-BD5B-210A9889CFEF}"/>
            </a:ext>
          </a:extLst>
        </xdr:cNvPr>
        <xdr:cNvSpPr/>
      </xdr:nvSpPr>
      <xdr:spPr>
        <a:xfrm>
          <a:off x="10412174" y="8497662"/>
          <a:ext cx="9804638" cy="5560372"/>
        </a:xfrm>
        <a:prstGeom prst="roundRect">
          <a:avLst>
            <a:gd name="adj" fmla="val 2652"/>
          </a:avLst>
        </a:prstGeom>
        <a:ln w="19050">
          <a:solidFill>
            <a:srgbClr val="0070C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36800</xdr:colOff>
      <xdr:row>44</xdr:row>
      <xdr:rowOff>181840</xdr:rowOff>
    </xdr:from>
    <xdr:to>
      <xdr:col>15</xdr:col>
      <xdr:colOff>385329</xdr:colOff>
      <xdr:row>71</xdr:row>
      <xdr:rowOff>16809</xdr:rowOff>
    </xdr:to>
    <xdr:graphicFrame macro="">
      <xdr:nvGraphicFramePr>
        <xdr:cNvPr id="62" name="Chart 61">
          <a:extLst>
            <a:ext uri="{FF2B5EF4-FFF2-40B4-BE49-F238E27FC236}">
              <a16:creationId xmlns:a16="http://schemas.microsoft.com/office/drawing/2014/main" id="{E7FA4D68-780E-4B1C-AC23-AADD66C43A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690561</xdr:colOff>
      <xdr:row>44</xdr:row>
      <xdr:rowOff>95253</xdr:rowOff>
    </xdr:from>
    <xdr:to>
      <xdr:col>15</xdr:col>
      <xdr:colOff>554181</xdr:colOff>
      <xdr:row>53</xdr:row>
      <xdr:rowOff>86592</xdr:rowOff>
    </xdr:to>
    <mc:AlternateContent xmlns:mc="http://schemas.openxmlformats.org/markup-compatibility/2006" xmlns:a14="http://schemas.microsoft.com/office/drawing/2010/main">
      <mc:Choice Requires="a14">
        <xdr:graphicFrame macro="">
          <xdr:nvGraphicFramePr>
            <xdr:cNvPr id="1024" name="Metrics 2">
              <a:extLst>
                <a:ext uri="{FF2B5EF4-FFF2-40B4-BE49-F238E27FC236}">
                  <a16:creationId xmlns:a16="http://schemas.microsoft.com/office/drawing/2014/main" id="{FFF545E7-C00D-4307-B496-596E9D50D31E}"/>
                </a:ext>
              </a:extLst>
            </xdr:cNvPr>
            <xdr:cNvGraphicFramePr/>
          </xdr:nvGraphicFramePr>
          <xdr:xfrm>
            <a:off x="0" y="0"/>
            <a:ext cx="0" cy="0"/>
          </xdr:xfrm>
          <a:graphic>
            <a:graphicData uri="http://schemas.microsoft.com/office/drawing/2010/slicer">
              <sle:slicer xmlns:sle="http://schemas.microsoft.com/office/drawing/2010/slicer" name="Metrics 2"/>
            </a:graphicData>
          </a:graphic>
        </xdr:graphicFrame>
      </mc:Choice>
      <mc:Fallback xmlns="">
        <xdr:sp macro="" textlink="">
          <xdr:nvSpPr>
            <xdr:cNvPr id="0" name=""/>
            <xdr:cNvSpPr>
              <a:spLocks noTextEdit="1"/>
            </xdr:cNvSpPr>
          </xdr:nvSpPr>
          <xdr:spPr>
            <a:xfrm>
              <a:off x="17489197" y="9412434"/>
              <a:ext cx="1540887" cy="19179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448407</xdr:colOff>
      <xdr:row>11</xdr:row>
      <xdr:rowOff>50555</xdr:rowOff>
    </xdr:from>
    <xdr:to>
      <xdr:col>2</xdr:col>
      <xdr:colOff>435707</xdr:colOff>
      <xdr:row>25</xdr:row>
      <xdr:rowOff>10257</xdr:rowOff>
    </xdr:to>
    <mc:AlternateContent xmlns:mc="http://schemas.openxmlformats.org/markup-compatibility/2006" xmlns:a14="http://schemas.microsoft.com/office/drawing/2010/main">
      <mc:Choice Requires="a14">
        <xdr:graphicFrame macro="">
          <xdr:nvGraphicFramePr>
            <xdr:cNvPr id="4" name="Metrics 1">
              <a:extLst>
                <a:ext uri="{FF2B5EF4-FFF2-40B4-BE49-F238E27FC236}">
                  <a16:creationId xmlns:a16="http://schemas.microsoft.com/office/drawing/2014/main" id="{C591157E-983D-2AB1-A688-E2E419D1D2EF}"/>
                </a:ext>
              </a:extLst>
            </xdr:cNvPr>
            <xdr:cNvGraphicFramePr/>
          </xdr:nvGraphicFramePr>
          <xdr:xfrm>
            <a:off x="0" y="0"/>
            <a:ext cx="0" cy="0"/>
          </xdr:xfrm>
          <a:graphic>
            <a:graphicData uri="http://schemas.microsoft.com/office/drawing/2010/slicer">
              <sle:slicer xmlns:sle="http://schemas.microsoft.com/office/drawing/2010/slicer" name="Metrics 1"/>
            </a:graphicData>
          </a:graphic>
        </xdr:graphicFrame>
      </mc:Choice>
      <mc:Fallback xmlns="">
        <xdr:sp macro="" textlink="">
          <xdr:nvSpPr>
            <xdr:cNvPr id="0" name=""/>
            <xdr:cNvSpPr>
              <a:spLocks noTextEdit="1"/>
            </xdr:cNvSpPr>
          </xdr:nvSpPr>
          <xdr:spPr>
            <a:xfrm>
              <a:off x="448407" y="2065459"/>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362683</xdr:colOff>
      <xdr:row>12</xdr:row>
      <xdr:rowOff>156064</xdr:rowOff>
    </xdr:from>
    <xdr:to>
      <xdr:col>7</xdr:col>
      <xdr:colOff>106240</xdr:colOff>
      <xdr:row>27</xdr:row>
      <xdr:rowOff>151668</xdr:rowOff>
    </xdr:to>
    <xdr:graphicFrame macro="">
      <xdr:nvGraphicFramePr>
        <xdr:cNvPr id="5" name="Chart 4">
          <a:extLst>
            <a:ext uri="{FF2B5EF4-FFF2-40B4-BE49-F238E27FC236}">
              <a16:creationId xmlns:a16="http://schemas.microsoft.com/office/drawing/2014/main" id="{39C767AA-F352-0E80-02D6-390BFBBBD4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7</xdr:col>
      <xdr:colOff>819150</xdr:colOff>
      <xdr:row>17</xdr:row>
      <xdr:rowOff>19050</xdr:rowOff>
    </xdr:from>
    <xdr:to>
      <xdr:col>9</xdr:col>
      <xdr:colOff>123825</xdr:colOff>
      <xdr:row>30</xdr:row>
      <xdr:rowOff>104775</xdr:rowOff>
    </xdr:to>
    <mc:AlternateContent xmlns:mc="http://schemas.openxmlformats.org/markup-compatibility/2006" xmlns:sle15="http://schemas.microsoft.com/office/drawing/2012/slicer">
      <mc:Choice Requires="sle15">
        <xdr:graphicFrame macro="">
          <xdr:nvGraphicFramePr>
            <xdr:cNvPr id="7" name="Metrics">
              <a:extLst>
                <a:ext uri="{FF2B5EF4-FFF2-40B4-BE49-F238E27FC236}">
                  <a16:creationId xmlns:a16="http://schemas.microsoft.com/office/drawing/2014/main" id="{7E2978F5-B7AF-5BF5-B61A-83D286352609}"/>
                </a:ext>
              </a:extLst>
            </xdr:cNvPr>
            <xdr:cNvGraphicFramePr/>
          </xdr:nvGraphicFramePr>
          <xdr:xfrm>
            <a:off x="0" y="0"/>
            <a:ext cx="0" cy="0"/>
          </xdr:xfrm>
          <a:graphic>
            <a:graphicData uri="http://schemas.microsoft.com/office/drawing/2010/slicer">
              <sle:slicer xmlns:sle="http://schemas.microsoft.com/office/drawing/2010/slicer" name="Metrics"/>
            </a:graphicData>
          </a:graphic>
        </xdr:graphicFrame>
      </mc:Choice>
      <mc:Fallback xmlns="">
        <xdr:sp macro="" textlink="">
          <xdr:nvSpPr>
            <xdr:cNvPr id="0" name=""/>
            <xdr:cNvSpPr>
              <a:spLocks noTextEdit="1"/>
            </xdr:cNvSpPr>
          </xdr:nvSpPr>
          <xdr:spPr>
            <a:xfrm>
              <a:off x="9801225" y="3381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11</xdr:row>
      <xdr:rowOff>0</xdr:rowOff>
    </xdr:from>
    <xdr:to>
      <xdr:col>27</xdr:col>
      <xdr:colOff>153761</xdr:colOff>
      <xdr:row>66</xdr:row>
      <xdr:rowOff>14289</xdr:rowOff>
    </xdr:to>
    <xdr:graphicFrame macro="">
      <xdr:nvGraphicFramePr>
        <xdr:cNvPr id="2" name="Chart 1">
          <a:extLst>
            <a:ext uri="{FF2B5EF4-FFF2-40B4-BE49-F238E27FC236}">
              <a16:creationId xmlns:a16="http://schemas.microsoft.com/office/drawing/2014/main" id="{50B7DCE3-7CF4-2479-C304-8F53418B72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624568</xdr:colOff>
      <xdr:row>1</xdr:row>
      <xdr:rowOff>29936</xdr:rowOff>
    </xdr:from>
    <xdr:to>
      <xdr:col>21</xdr:col>
      <xdr:colOff>412297</xdr:colOff>
      <xdr:row>15</xdr:row>
      <xdr:rowOff>77561</xdr:rowOff>
    </xdr:to>
    <mc:AlternateContent xmlns:mc="http://schemas.openxmlformats.org/markup-compatibility/2006" xmlns:a14="http://schemas.microsoft.com/office/drawing/2010/main">
      <mc:Choice Requires="a14">
        <xdr:graphicFrame macro="">
          <xdr:nvGraphicFramePr>
            <xdr:cNvPr id="10" name="Type">
              <a:extLst>
                <a:ext uri="{FF2B5EF4-FFF2-40B4-BE49-F238E27FC236}">
                  <a16:creationId xmlns:a16="http://schemas.microsoft.com/office/drawing/2014/main" id="{1D9F19D0-10F7-557A-DB60-8A8DF418BA6C}"/>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6207468" y="210911"/>
              <a:ext cx="1845129"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25854</xdr:colOff>
      <xdr:row>1</xdr:row>
      <xdr:rowOff>57150</xdr:rowOff>
    </xdr:from>
    <xdr:to>
      <xdr:col>18</xdr:col>
      <xdr:colOff>561975</xdr:colOff>
      <xdr:row>15</xdr:row>
      <xdr:rowOff>104775</xdr:rowOff>
    </xdr:to>
    <mc:AlternateContent xmlns:mc="http://schemas.openxmlformats.org/markup-compatibility/2006" xmlns:a14="http://schemas.microsoft.com/office/drawing/2010/main">
      <mc:Choice Requires="a14">
        <xdr:graphicFrame macro="">
          <xdr:nvGraphicFramePr>
            <xdr:cNvPr id="11" name="Year-Quarter ">
              <a:extLst>
                <a:ext uri="{FF2B5EF4-FFF2-40B4-BE49-F238E27FC236}">
                  <a16:creationId xmlns:a16="http://schemas.microsoft.com/office/drawing/2014/main" id="{62D556E4-81EA-A923-9FC4-774AFD9A1841}"/>
                </a:ext>
              </a:extLst>
            </xdr:cNvPr>
            <xdr:cNvGraphicFramePr/>
          </xdr:nvGraphicFramePr>
          <xdr:xfrm>
            <a:off x="0" y="0"/>
            <a:ext cx="0" cy="0"/>
          </xdr:xfrm>
          <a:graphic>
            <a:graphicData uri="http://schemas.microsoft.com/office/drawing/2010/slicer">
              <sle:slicer xmlns:sle="http://schemas.microsoft.com/office/drawing/2010/slicer" name="Year-Quarter "/>
            </a:graphicData>
          </a:graphic>
        </xdr:graphicFrame>
      </mc:Choice>
      <mc:Fallback xmlns="">
        <xdr:sp macro="" textlink="">
          <xdr:nvSpPr>
            <xdr:cNvPr id="0" name=""/>
            <xdr:cNvSpPr>
              <a:spLocks noTextEdit="1"/>
            </xdr:cNvSpPr>
          </xdr:nvSpPr>
          <xdr:spPr>
            <a:xfrm>
              <a:off x="14313354" y="238125"/>
              <a:ext cx="1831521"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142874</xdr:colOff>
      <xdr:row>13</xdr:row>
      <xdr:rowOff>57149</xdr:rowOff>
    </xdr:from>
    <xdr:to>
      <xdr:col>5</xdr:col>
      <xdr:colOff>900545</xdr:colOff>
      <xdr:row>27</xdr:row>
      <xdr:rowOff>164523</xdr:rowOff>
    </xdr:to>
    <xdr:graphicFrame macro="">
      <xdr:nvGraphicFramePr>
        <xdr:cNvPr id="5" name="Chart 4">
          <a:extLst>
            <a:ext uri="{FF2B5EF4-FFF2-40B4-BE49-F238E27FC236}">
              <a16:creationId xmlns:a16="http://schemas.microsoft.com/office/drawing/2014/main" id="{3185D9D0-6774-AAF0-AE62-3C11E60E82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134218</xdr:colOff>
      <xdr:row>31</xdr:row>
      <xdr:rowOff>178377</xdr:rowOff>
    </xdr:from>
    <xdr:to>
      <xdr:col>5</xdr:col>
      <xdr:colOff>900546</xdr:colOff>
      <xdr:row>45</xdr:row>
      <xdr:rowOff>150668</xdr:rowOff>
    </xdr:to>
    <xdr:graphicFrame macro="">
      <xdr:nvGraphicFramePr>
        <xdr:cNvPr id="6" name="Chart 5">
          <a:extLst>
            <a:ext uri="{FF2B5EF4-FFF2-40B4-BE49-F238E27FC236}">
              <a16:creationId xmlns:a16="http://schemas.microsoft.com/office/drawing/2014/main" id="{F1038B1E-1872-B4C2-3400-4C0113F014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125557</xdr:colOff>
      <xdr:row>49</xdr:row>
      <xdr:rowOff>187036</xdr:rowOff>
    </xdr:from>
    <xdr:to>
      <xdr:col>5</xdr:col>
      <xdr:colOff>900545</xdr:colOff>
      <xdr:row>63</xdr:row>
      <xdr:rowOff>159327</xdr:rowOff>
    </xdr:to>
    <xdr:graphicFrame macro="">
      <xdr:nvGraphicFramePr>
        <xdr:cNvPr id="7" name="Chart 6">
          <a:extLst>
            <a:ext uri="{FF2B5EF4-FFF2-40B4-BE49-F238E27FC236}">
              <a16:creationId xmlns:a16="http://schemas.microsoft.com/office/drawing/2014/main" id="{B87FA996-B159-2F24-5418-D4002FB09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173181</xdr:colOff>
      <xdr:row>67</xdr:row>
      <xdr:rowOff>152400</xdr:rowOff>
    </xdr:from>
    <xdr:to>
      <xdr:col>5</xdr:col>
      <xdr:colOff>909204</xdr:colOff>
      <xdr:row>81</xdr:row>
      <xdr:rowOff>124691</xdr:rowOff>
    </xdr:to>
    <xdr:graphicFrame macro="">
      <xdr:nvGraphicFramePr>
        <xdr:cNvPr id="8" name="Chart 7">
          <a:extLst>
            <a:ext uri="{FF2B5EF4-FFF2-40B4-BE49-F238E27FC236}">
              <a16:creationId xmlns:a16="http://schemas.microsoft.com/office/drawing/2014/main" id="{B0CF12E0-DF68-CC79-03CF-92707F8823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186171</xdr:colOff>
      <xdr:row>86</xdr:row>
      <xdr:rowOff>109104</xdr:rowOff>
    </xdr:from>
    <xdr:to>
      <xdr:col>6</xdr:col>
      <xdr:colOff>8659</xdr:colOff>
      <xdr:row>102</xdr:row>
      <xdr:rowOff>81395</xdr:rowOff>
    </xdr:to>
    <xdr:graphicFrame macro="">
      <xdr:nvGraphicFramePr>
        <xdr:cNvPr id="9" name="Chart 8">
          <a:extLst>
            <a:ext uri="{FF2B5EF4-FFF2-40B4-BE49-F238E27FC236}">
              <a16:creationId xmlns:a16="http://schemas.microsoft.com/office/drawing/2014/main" id="{B561D4A6-A738-4FAA-92F6-13CCF4C221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181840</xdr:colOff>
      <xdr:row>104</xdr:row>
      <xdr:rowOff>74468</xdr:rowOff>
    </xdr:from>
    <xdr:to>
      <xdr:col>5</xdr:col>
      <xdr:colOff>917863</xdr:colOff>
      <xdr:row>120</xdr:row>
      <xdr:rowOff>46759</xdr:rowOff>
    </xdr:to>
    <xdr:graphicFrame macro="">
      <xdr:nvGraphicFramePr>
        <xdr:cNvPr id="10" name="Chart 9">
          <a:extLst>
            <a:ext uri="{FF2B5EF4-FFF2-40B4-BE49-F238E27FC236}">
              <a16:creationId xmlns:a16="http://schemas.microsoft.com/office/drawing/2014/main" id="{F2E14278-0E0B-1D6C-049D-72E98F97D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190500</xdr:colOff>
      <xdr:row>122</xdr:row>
      <xdr:rowOff>48491</xdr:rowOff>
    </xdr:from>
    <xdr:to>
      <xdr:col>6</xdr:col>
      <xdr:colOff>8659</xdr:colOff>
      <xdr:row>138</xdr:row>
      <xdr:rowOff>20781</xdr:rowOff>
    </xdr:to>
    <xdr:graphicFrame macro="">
      <xdr:nvGraphicFramePr>
        <xdr:cNvPr id="11" name="Chart 10">
          <a:extLst>
            <a:ext uri="{FF2B5EF4-FFF2-40B4-BE49-F238E27FC236}">
              <a16:creationId xmlns:a16="http://schemas.microsoft.com/office/drawing/2014/main" id="{88410767-90C9-3258-14CF-C69A9CBD5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142874</xdr:colOff>
      <xdr:row>13</xdr:row>
      <xdr:rowOff>57149</xdr:rowOff>
    </xdr:from>
    <xdr:to>
      <xdr:col>5</xdr:col>
      <xdr:colOff>900545</xdr:colOff>
      <xdr:row>27</xdr:row>
      <xdr:rowOff>164523</xdr:rowOff>
    </xdr:to>
    <xdr:graphicFrame macro="">
      <xdr:nvGraphicFramePr>
        <xdr:cNvPr id="2" name="Chart 1">
          <a:extLst>
            <a:ext uri="{FF2B5EF4-FFF2-40B4-BE49-F238E27FC236}">
              <a16:creationId xmlns:a16="http://schemas.microsoft.com/office/drawing/2014/main" id="{D74CBEC9-9D64-4C00-988B-97B683D0DE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134218</xdr:colOff>
      <xdr:row>31</xdr:row>
      <xdr:rowOff>178377</xdr:rowOff>
    </xdr:from>
    <xdr:to>
      <xdr:col>5</xdr:col>
      <xdr:colOff>900546</xdr:colOff>
      <xdr:row>45</xdr:row>
      <xdr:rowOff>150668</xdr:rowOff>
    </xdr:to>
    <xdr:graphicFrame macro="">
      <xdr:nvGraphicFramePr>
        <xdr:cNvPr id="3" name="Chart 2">
          <a:extLst>
            <a:ext uri="{FF2B5EF4-FFF2-40B4-BE49-F238E27FC236}">
              <a16:creationId xmlns:a16="http://schemas.microsoft.com/office/drawing/2014/main" id="{B55E3F95-167C-4917-AEC1-F05EA127ED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125557</xdr:colOff>
      <xdr:row>49</xdr:row>
      <xdr:rowOff>187036</xdr:rowOff>
    </xdr:from>
    <xdr:to>
      <xdr:col>5</xdr:col>
      <xdr:colOff>900545</xdr:colOff>
      <xdr:row>63</xdr:row>
      <xdr:rowOff>159327</xdr:rowOff>
    </xdr:to>
    <xdr:graphicFrame macro="">
      <xdr:nvGraphicFramePr>
        <xdr:cNvPr id="4" name="Chart 3">
          <a:extLst>
            <a:ext uri="{FF2B5EF4-FFF2-40B4-BE49-F238E27FC236}">
              <a16:creationId xmlns:a16="http://schemas.microsoft.com/office/drawing/2014/main" id="{6BEEC449-28AE-453E-8F2E-ADA61B7CA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173181</xdr:colOff>
      <xdr:row>67</xdr:row>
      <xdr:rowOff>152400</xdr:rowOff>
    </xdr:from>
    <xdr:to>
      <xdr:col>5</xdr:col>
      <xdr:colOff>909204</xdr:colOff>
      <xdr:row>81</xdr:row>
      <xdr:rowOff>124691</xdr:rowOff>
    </xdr:to>
    <xdr:graphicFrame macro="">
      <xdr:nvGraphicFramePr>
        <xdr:cNvPr id="5" name="Chart 4">
          <a:extLst>
            <a:ext uri="{FF2B5EF4-FFF2-40B4-BE49-F238E27FC236}">
              <a16:creationId xmlns:a16="http://schemas.microsoft.com/office/drawing/2014/main" id="{12D8C474-264F-4095-B3A1-129D09E9E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186171</xdr:colOff>
      <xdr:row>86</xdr:row>
      <xdr:rowOff>109104</xdr:rowOff>
    </xdr:from>
    <xdr:to>
      <xdr:col>6</xdr:col>
      <xdr:colOff>8659</xdr:colOff>
      <xdr:row>102</xdr:row>
      <xdr:rowOff>81395</xdr:rowOff>
    </xdr:to>
    <xdr:graphicFrame macro="">
      <xdr:nvGraphicFramePr>
        <xdr:cNvPr id="6" name="Chart 5">
          <a:extLst>
            <a:ext uri="{FF2B5EF4-FFF2-40B4-BE49-F238E27FC236}">
              <a16:creationId xmlns:a16="http://schemas.microsoft.com/office/drawing/2014/main" id="{39F98BFE-C2C6-464C-9BFD-F10CE07DB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181840</xdr:colOff>
      <xdr:row>104</xdr:row>
      <xdr:rowOff>74468</xdr:rowOff>
    </xdr:from>
    <xdr:to>
      <xdr:col>5</xdr:col>
      <xdr:colOff>917863</xdr:colOff>
      <xdr:row>120</xdr:row>
      <xdr:rowOff>46759</xdr:rowOff>
    </xdr:to>
    <xdr:graphicFrame macro="">
      <xdr:nvGraphicFramePr>
        <xdr:cNvPr id="7" name="Chart 6">
          <a:extLst>
            <a:ext uri="{FF2B5EF4-FFF2-40B4-BE49-F238E27FC236}">
              <a16:creationId xmlns:a16="http://schemas.microsoft.com/office/drawing/2014/main" id="{1D265D8C-CAA7-4522-8D17-CED6359F8A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190500</xdr:colOff>
      <xdr:row>122</xdr:row>
      <xdr:rowOff>48491</xdr:rowOff>
    </xdr:from>
    <xdr:to>
      <xdr:col>6</xdr:col>
      <xdr:colOff>8659</xdr:colOff>
      <xdr:row>138</xdr:row>
      <xdr:rowOff>20781</xdr:rowOff>
    </xdr:to>
    <xdr:graphicFrame macro="">
      <xdr:nvGraphicFramePr>
        <xdr:cNvPr id="8" name="Chart 7">
          <a:extLst>
            <a:ext uri="{FF2B5EF4-FFF2-40B4-BE49-F238E27FC236}">
              <a16:creationId xmlns:a16="http://schemas.microsoft.com/office/drawing/2014/main" id="{E958F0D5-0494-43E9-9B2B-8A0DBF810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142874</xdr:colOff>
      <xdr:row>13</xdr:row>
      <xdr:rowOff>57149</xdr:rowOff>
    </xdr:from>
    <xdr:to>
      <xdr:col>5</xdr:col>
      <xdr:colOff>900545</xdr:colOff>
      <xdr:row>27</xdr:row>
      <xdr:rowOff>164523</xdr:rowOff>
    </xdr:to>
    <xdr:graphicFrame macro="">
      <xdr:nvGraphicFramePr>
        <xdr:cNvPr id="2" name="Chart 1">
          <a:extLst>
            <a:ext uri="{FF2B5EF4-FFF2-40B4-BE49-F238E27FC236}">
              <a16:creationId xmlns:a16="http://schemas.microsoft.com/office/drawing/2014/main" id="{E623938E-D934-438B-819B-E8FDC2DDC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134218</xdr:colOff>
      <xdr:row>31</xdr:row>
      <xdr:rowOff>178377</xdr:rowOff>
    </xdr:from>
    <xdr:to>
      <xdr:col>5</xdr:col>
      <xdr:colOff>900546</xdr:colOff>
      <xdr:row>45</xdr:row>
      <xdr:rowOff>150668</xdr:rowOff>
    </xdr:to>
    <xdr:graphicFrame macro="">
      <xdr:nvGraphicFramePr>
        <xdr:cNvPr id="3" name="Chart 2">
          <a:extLst>
            <a:ext uri="{FF2B5EF4-FFF2-40B4-BE49-F238E27FC236}">
              <a16:creationId xmlns:a16="http://schemas.microsoft.com/office/drawing/2014/main" id="{261AE5BF-F0CE-4937-899A-24127BDFC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125557</xdr:colOff>
      <xdr:row>49</xdr:row>
      <xdr:rowOff>187036</xdr:rowOff>
    </xdr:from>
    <xdr:to>
      <xdr:col>5</xdr:col>
      <xdr:colOff>900545</xdr:colOff>
      <xdr:row>63</xdr:row>
      <xdr:rowOff>159327</xdr:rowOff>
    </xdr:to>
    <xdr:graphicFrame macro="">
      <xdr:nvGraphicFramePr>
        <xdr:cNvPr id="4" name="Chart 3">
          <a:extLst>
            <a:ext uri="{FF2B5EF4-FFF2-40B4-BE49-F238E27FC236}">
              <a16:creationId xmlns:a16="http://schemas.microsoft.com/office/drawing/2014/main" id="{B05B3253-9645-4FFB-BF30-E43F8DC868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173181</xdr:colOff>
      <xdr:row>67</xdr:row>
      <xdr:rowOff>152400</xdr:rowOff>
    </xdr:from>
    <xdr:to>
      <xdr:col>5</xdr:col>
      <xdr:colOff>909204</xdr:colOff>
      <xdr:row>81</xdr:row>
      <xdr:rowOff>124691</xdr:rowOff>
    </xdr:to>
    <xdr:graphicFrame macro="">
      <xdr:nvGraphicFramePr>
        <xdr:cNvPr id="5" name="Chart 4">
          <a:extLst>
            <a:ext uri="{FF2B5EF4-FFF2-40B4-BE49-F238E27FC236}">
              <a16:creationId xmlns:a16="http://schemas.microsoft.com/office/drawing/2014/main" id="{5D7896B1-6EC4-4F14-AB31-55A780FE60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186171</xdr:colOff>
      <xdr:row>86</xdr:row>
      <xdr:rowOff>109104</xdr:rowOff>
    </xdr:from>
    <xdr:to>
      <xdr:col>6</xdr:col>
      <xdr:colOff>8659</xdr:colOff>
      <xdr:row>102</xdr:row>
      <xdr:rowOff>81395</xdr:rowOff>
    </xdr:to>
    <xdr:graphicFrame macro="">
      <xdr:nvGraphicFramePr>
        <xdr:cNvPr id="6" name="Chart 5">
          <a:extLst>
            <a:ext uri="{FF2B5EF4-FFF2-40B4-BE49-F238E27FC236}">
              <a16:creationId xmlns:a16="http://schemas.microsoft.com/office/drawing/2014/main" id="{A69B8EA9-C496-415C-B1EE-C153050D4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181840</xdr:colOff>
      <xdr:row>104</xdr:row>
      <xdr:rowOff>74468</xdr:rowOff>
    </xdr:from>
    <xdr:to>
      <xdr:col>5</xdr:col>
      <xdr:colOff>917863</xdr:colOff>
      <xdr:row>120</xdr:row>
      <xdr:rowOff>46759</xdr:rowOff>
    </xdr:to>
    <xdr:graphicFrame macro="">
      <xdr:nvGraphicFramePr>
        <xdr:cNvPr id="7" name="Chart 6">
          <a:extLst>
            <a:ext uri="{FF2B5EF4-FFF2-40B4-BE49-F238E27FC236}">
              <a16:creationId xmlns:a16="http://schemas.microsoft.com/office/drawing/2014/main" id="{ECA33CCA-DD5D-4835-B756-FC0DD5D5A9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190500</xdr:colOff>
      <xdr:row>122</xdr:row>
      <xdr:rowOff>48491</xdr:rowOff>
    </xdr:from>
    <xdr:to>
      <xdr:col>6</xdr:col>
      <xdr:colOff>8659</xdr:colOff>
      <xdr:row>138</xdr:row>
      <xdr:rowOff>20781</xdr:rowOff>
    </xdr:to>
    <xdr:graphicFrame macro="">
      <xdr:nvGraphicFramePr>
        <xdr:cNvPr id="8" name="Chart 7">
          <a:extLst>
            <a:ext uri="{FF2B5EF4-FFF2-40B4-BE49-F238E27FC236}">
              <a16:creationId xmlns:a16="http://schemas.microsoft.com/office/drawing/2014/main" id="{43B5C3B5-4771-4623-B6CD-4450AB0E0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749191</xdr:colOff>
      <xdr:row>21</xdr:row>
      <xdr:rowOff>129887</xdr:rowOff>
    </xdr:from>
    <xdr:to>
      <xdr:col>15</xdr:col>
      <xdr:colOff>364627</xdr:colOff>
      <xdr:row>42</xdr:row>
      <xdr:rowOff>86591</xdr:rowOff>
    </xdr:to>
    <xdr:pic>
      <xdr:nvPicPr>
        <xdr:cNvPr id="9" name="Picture 8">
          <a:extLst>
            <a:ext uri="{FF2B5EF4-FFF2-40B4-BE49-F238E27FC236}">
              <a16:creationId xmlns:a16="http://schemas.microsoft.com/office/drawing/2014/main" id="{094CAEB6-4B6B-E69F-8F0E-5CE2691E7040}"/>
            </a:ext>
          </a:extLst>
        </xdr:cNvPr>
        <xdr:cNvPicPr>
          <a:picLocks noChangeAspect="1"/>
        </xdr:cNvPicPr>
      </xdr:nvPicPr>
      <xdr:blipFill>
        <a:blip xmlns:r="http://schemas.openxmlformats.org/officeDocument/2006/relationships" r:embed="rId8"/>
        <a:stretch>
          <a:fillRect/>
        </a:stretch>
      </xdr:blipFill>
      <xdr:spPr>
        <a:xfrm>
          <a:off x="9875873" y="4268932"/>
          <a:ext cx="8092686" cy="4113068"/>
        </a:xfrm>
        <a:prstGeom prst="rect">
          <a:avLst/>
        </a:prstGeom>
        <a:solidFill>
          <a:schemeClr val="accent2"/>
        </a:solidFill>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16</xdr:row>
      <xdr:rowOff>100012</xdr:rowOff>
    </xdr:from>
    <xdr:to>
      <xdr:col>4</xdr:col>
      <xdr:colOff>2057400</xdr:colOff>
      <xdr:row>31</xdr:row>
      <xdr:rowOff>176212</xdr:rowOff>
    </xdr:to>
    <xdr:graphicFrame macro="">
      <xdr:nvGraphicFramePr>
        <xdr:cNvPr id="2" name="Chart 1">
          <a:extLst>
            <a:ext uri="{FF2B5EF4-FFF2-40B4-BE49-F238E27FC236}">
              <a16:creationId xmlns:a16="http://schemas.microsoft.com/office/drawing/2014/main" id="{E28D95C5-E97A-2B39-94ED-F06CAEDA4D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17</xdr:row>
      <xdr:rowOff>71437</xdr:rowOff>
    </xdr:from>
    <xdr:to>
      <xdr:col>4</xdr:col>
      <xdr:colOff>2028824</xdr:colOff>
      <xdr:row>32</xdr:row>
      <xdr:rowOff>147637</xdr:rowOff>
    </xdr:to>
    <xdr:graphicFrame macro="">
      <xdr:nvGraphicFramePr>
        <xdr:cNvPr id="2" name="Chart 1">
          <a:extLst>
            <a:ext uri="{FF2B5EF4-FFF2-40B4-BE49-F238E27FC236}">
              <a16:creationId xmlns:a16="http://schemas.microsoft.com/office/drawing/2014/main" id="{6B1993F8-BD2D-50A8-6D31-000A9B2B5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571500</xdr:colOff>
      <xdr:row>11</xdr:row>
      <xdr:rowOff>185737</xdr:rowOff>
    </xdr:from>
    <xdr:to>
      <xdr:col>16</xdr:col>
      <xdr:colOff>600075</xdr:colOff>
      <xdr:row>27</xdr:row>
      <xdr:rowOff>71437</xdr:rowOff>
    </xdr:to>
    <xdr:graphicFrame macro="">
      <xdr:nvGraphicFramePr>
        <xdr:cNvPr id="2" name="Chart 1">
          <a:extLst>
            <a:ext uri="{FF2B5EF4-FFF2-40B4-BE49-F238E27FC236}">
              <a16:creationId xmlns:a16="http://schemas.microsoft.com/office/drawing/2014/main" id="{49460FDE-1332-1F98-0E19-89AC23FDD5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2019300</xdr:colOff>
      <xdr:row>11</xdr:row>
      <xdr:rowOff>185737</xdr:rowOff>
    </xdr:from>
    <xdr:to>
      <xdr:col>14</xdr:col>
      <xdr:colOff>561975</xdr:colOff>
      <xdr:row>27</xdr:row>
      <xdr:rowOff>71437</xdr:rowOff>
    </xdr:to>
    <xdr:graphicFrame macro="">
      <xdr:nvGraphicFramePr>
        <xdr:cNvPr id="2" name="Chart 1">
          <a:extLst>
            <a:ext uri="{FF2B5EF4-FFF2-40B4-BE49-F238E27FC236}">
              <a16:creationId xmlns:a16="http://schemas.microsoft.com/office/drawing/2014/main" id="{DB76901A-DDD8-EA61-728D-985FF4900C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17</xdr:row>
      <xdr:rowOff>71437</xdr:rowOff>
    </xdr:from>
    <xdr:to>
      <xdr:col>4</xdr:col>
      <xdr:colOff>1609725</xdr:colOff>
      <xdr:row>32</xdr:row>
      <xdr:rowOff>147637</xdr:rowOff>
    </xdr:to>
    <xdr:graphicFrame macro="">
      <xdr:nvGraphicFramePr>
        <xdr:cNvPr id="2" name="Chart 1">
          <a:extLst>
            <a:ext uri="{FF2B5EF4-FFF2-40B4-BE49-F238E27FC236}">
              <a16:creationId xmlns:a16="http://schemas.microsoft.com/office/drawing/2014/main" id="{22E33F7B-6886-430C-FD3E-249FD6E124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133350</xdr:colOff>
      <xdr:row>19</xdr:row>
      <xdr:rowOff>23812</xdr:rowOff>
    </xdr:from>
    <xdr:to>
      <xdr:col>4</xdr:col>
      <xdr:colOff>2705100</xdr:colOff>
      <xdr:row>34</xdr:row>
      <xdr:rowOff>100012</xdr:rowOff>
    </xdr:to>
    <xdr:graphicFrame macro="">
      <xdr:nvGraphicFramePr>
        <xdr:cNvPr id="2" name="Chart 1">
          <a:extLst>
            <a:ext uri="{FF2B5EF4-FFF2-40B4-BE49-F238E27FC236}">
              <a16:creationId xmlns:a16="http://schemas.microsoft.com/office/drawing/2014/main" id="{612F4247-96B8-0315-D14B-BD8BE9140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9525</xdr:colOff>
      <xdr:row>11</xdr:row>
      <xdr:rowOff>185737</xdr:rowOff>
    </xdr:from>
    <xdr:to>
      <xdr:col>10</xdr:col>
      <xdr:colOff>257175</xdr:colOff>
      <xdr:row>27</xdr:row>
      <xdr:rowOff>71437</xdr:rowOff>
    </xdr:to>
    <xdr:graphicFrame macro="">
      <xdr:nvGraphicFramePr>
        <xdr:cNvPr id="2" name="Chart 1">
          <a:extLst>
            <a:ext uri="{FF2B5EF4-FFF2-40B4-BE49-F238E27FC236}">
              <a16:creationId xmlns:a16="http://schemas.microsoft.com/office/drawing/2014/main" id="{72808AE4-BFA9-E767-89DC-67FCD9835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LAB\Downloads\Mohamed.Anwar\Accounting&amp;Fiances\Hooy_Finance\Project_FInance\2023_Assignment%20for%20Analytics%20in%20Finance.xlsx" TargetMode="External"/><Relationship Id="rId1" Type="http://schemas.openxmlformats.org/officeDocument/2006/relationships/externalLinkPath" Target="/Users/LAB/Downloads/Mohamed.Anwar/Accounting&amp;Fiances/Hooy_Finance/Project_FInance/2023_Assignment%20for%20Analytics%20in%20Fina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embers Name and Matrix No"/>
      <sheetName val="Seasonal Forcast for 2024"/>
      <sheetName val="Project-A"/>
      <sheetName val="Project-B"/>
      <sheetName val="Project-C"/>
      <sheetName val="Project-F1"/>
      <sheetName val="Project-F2"/>
      <sheetName val="Project analysis"/>
      <sheetName val="Mterics"/>
      <sheetName val="Exponential Triple Smoothing"/>
      <sheetName val="Linear Regression"/>
      <sheetName val="Autoregressive integrated movin"/>
      <sheetName val="FOREX(RM%USD)"/>
      <sheetName val="FOREX(RMB%R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4">
          <cell r="C24">
            <v>60000</v>
          </cell>
        </row>
        <row r="25">
          <cell r="C25">
            <v>66000</v>
          </cell>
        </row>
        <row r="26">
          <cell r="C26">
            <v>54000</v>
          </cell>
        </row>
        <row r="27">
          <cell r="C27">
            <v>72000</v>
          </cell>
        </row>
        <row r="40">
          <cell r="C40">
            <v>26611.764705882353</v>
          </cell>
        </row>
        <row r="41">
          <cell r="C41">
            <v>29752.941176470587</v>
          </cell>
        </row>
        <row r="42">
          <cell r="C42">
            <v>24070.588235294119</v>
          </cell>
        </row>
        <row r="43">
          <cell r="C43">
            <v>33564.705882352937</v>
          </cell>
        </row>
        <row r="56">
          <cell r="C56">
            <v>10878.260869565216</v>
          </cell>
        </row>
        <row r="57">
          <cell r="C57">
            <v>12573.91304347826</v>
          </cell>
        </row>
        <row r="58">
          <cell r="C58">
            <v>9182.608695652174</v>
          </cell>
        </row>
        <row r="59">
          <cell r="C59">
            <v>17765.217391304348</v>
          </cell>
        </row>
        <row r="72">
          <cell r="C72">
            <v>19697.560975609758</v>
          </cell>
        </row>
        <row r="73">
          <cell r="C73">
            <v>21234.146341463413</v>
          </cell>
        </row>
        <row r="74">
          <cell r="C74">
            <v>17751.219512195123</v>
          </cell>
        </row>
        <row r="75">
          <cell r="C75">
            <v>24117.073170731706</v>
          </cell>
        </row>
        <row r="88">
          <cell r="C88">
            <v>294294.47852760734</v>
          </cell>
        </row>
        <row r="89">
          <cell r="C89">
            <v>285865.03067484661</v>
          </cell>
        </row>
        <row r="90">
          <cell r="C90">
            <v>281116.56441717787</v>
          </cell>
        </row>
        <row r="91">
          <cell r="C91">
            <v>314723.92638036812</v>
          </cell>
        </row>
      </sheetData>
      <sheetData sheetId="10" refreshError="1"/>
      <sheetData sheetId="11" refreshError="1"/>
      <sheetData sheetId="12" refreshError="1"/>
      <sheetData sheetId="1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13.031138425926" createdVersion="8" refreshedVersion="8" minRefreshableVersion="3" recordCount="13" xr:uid="{A02858B3-034A-4E0E-9138-FC1916E1911F}">
  <cacheSource type="worksheet">
    <worksheetSource name="Table17"/>
  </cacheSource>
  <cacheFields count="11">
    <cacheField name="Type" numFmtId="0">
      <sharedItems count="2">
        <s v="Outflows "/>
        <s v="Inflows"/>
      </sharedItems>
    </cacheField>
    <cacheField name="Year-Quarter " numFmtId="0">
      <sharedItems count="13">
        <s v="sum Out"/>
        <s v="2022-Q1"/>
        <s v="2022-Q2"/>
        <s v="2022-Q3"/>
        <s v="2022-Q4"/>
        <s v="2023-Q1"/>
        <s v="2023-Q2"/>
        <s v="2023-Q3"/>
        <s v="2023-Q4"/>
        <s v="2024-Q1"/>
        <s v="2024-Q2"/>
        <s v="2024-Q3"/>
        <s v="2024-Q4"/>
      </sharedItems>
    </cacheField>
    <cacheField name="Project A" numFmtId="164">
      <sharedItems containsSemiMixedTypes="0" containsString="0" containsNumber="1" containsInteger="1" minValue="-250000" maxValue="72000" count="8">
        <n v="-250000"/>
        <n v="50000"/>
        <n v="55000"/>
        <n v="45000"/>
        <n v="60000"/>
        <n v="66000"/>
        <n v="54000"/>
        <n v="72000"/>
      </sharedItems>
    </cacheField>
    <cacheField name="Project B " numFmtId="164">
      <sharedItems containsSemiMixedTypes="0" containsString="0" containsNumber="1" minValue="-100000" maxValue="33564.705882352937" count="10">
        <n v="-100000"/>
        <n v="20000"/>
        <n v="22000"/>
        <n v="18000"/>
        <n v="25000"/>
        <n v="28000"/>
        <n v="26611.764705882353"/>
        <n v="29752.941176470587"/>
        <n v="24070.588235294119"/>
        <n v="33564.705882352937"/>
      </sharedItems>
    </cacheField>
    <cacheField name="Project C" numFmtId="164">
      <sharedItems containsSemiMixedTypes="0" containsString="0" containsNumber="1" minValue="-25000" maxValue="17765.217391304348" count="12">
        <n v="-25000"/>
        <n v="5000"/>
        <n v="6000"/>
        <n v="4000"/>
        <n v="8000"/>
        <n v="9000"/>
        <n v="10000"/>
        <n v="15000"/>
        <n v="10878.260869565216"/>
        <n v="12573.91304347826"/>
        <n v="9182.608695652174"/>
        <n v="17765.217391304348"/>
      </sharedItems>
    </cacheField>
    <cacheField name="Project F1" numFmtId="166">
      <sharedItems containsSemiMixedTypes="0" containsString="0" containsNumber="1" minValue="-150000" maxValue="24117.073170731706"/>
    </cacheField>
    <cacheField name="Project F1 -RM" numFmtId="164">
      <sharedItems containsSemiMixedTypes="0" containsString="0" containsNumber="1" minValue="-720000" maxValue="108526.82926829268" count="13">
        <n v="-720000"/>
        <n v="72000"/>
        <n v="75175"/>
        <n v="62400"/>
        <n v="85500"/>
        <n v="75200"/>
        <n v="84240"/>
        <n v="69000"/>
        <n v="91800"/>
        <n v="88639.024390243911"/>
        <n v="95553.658536585353"/>
        <n v="79880.487804878052"/>
        <n v="108526.82926829268"/>
      </sharedItems>
    </cacheField>
    <cacheField name="Project F2 " numFmtId="167">
      <sharedItems containsSemiMixedTypes="0" containsString="0" containsNumber="1" minValue="-100000" maxValue="314723.92638036812"/>
    </cacheField>
    <cacheField name="Project F2 -RM" numFmtId="164">
      <sharedItems containsSemiMixedTypes="0" containsString="0" containsNumber="1" minValue="-170000" maxValue="456349.69325153378" count="13">
        <n v="-170000"/>
        <n v="340000"/>
        <n v="320400"/>
        <n v="387000"/>
        <n v="398200"/>
        <n v="445000"/>
        <n v="442000"/>
        <n v="336000"/>
        <n v="397800"/>
        <n v="441441.71779141098"/>
        <n v="423080.245398773"/>
        <n v="410430.18404907966"/>
        <n v="456349.69325153378"/>
      </sharedItems>
    </cacheField>
    <cacheField name="FOREX (RM/USD" numFmtId="0">
      <sharedItems containsSemiMixedTypes="0" containsString="0" containsNumber="1" minValue="4.5" maxValue="4.8499999999999996"/>
    </cacheField>
    <cacheField name="FOREX (RMB/RM)" numFmtId="0">
      <sharedItems containsSemiMixedTypes="0" containsString="0" containsNumber="1" minValue="1.45" maxValue="1.81"/>
    </cacheField>
  </cacheFields>
  <extLst>
    <ext xmlns:x14="http://schemas.microsoft.com/office/spreadsheetml/2009/9/main" uri="{725AE2AE-9491-48be-B2B4-4EB974FC3084}">
      <x14:pivotCacheDefinition pivotCacheId="2340523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13.163896990744" createdVersion="8" refreshedVersion="8" minRefreshableVersion="3" recordCount="5" xr:uid="{A5AB85D7-3EBB-4515-9E52-BF2ADC32C032}">
  <cacheSource type="worksheet">
    <worksheetSource ref="A24:E29" sheet="Project Revenue_Metrics_Outflow"/>
  </cacheSource>
  <cacheFields count="5">
    <cacheField name="Metrics" numFmtId="0">
      <sharedItems count="5">
        <s v="Project A"/>
        <s v="Project B "/>
        <s v="Project C"/>
        <s v="Project F1 -RM"/>
        <s v="Project F2 -RM"/>
      </sharedItems>
    </cacheField>
    <cacheField name="Payback Period " numFmtId="0">
      <sharedItems count="5">
        <s v="1.20 year"/>
        <s v="1.17 year "/>
        <s v="1.06 year"/>
        <s v="2.29 year"/>
        <s v="0.13 year"/>
      </sharedItems>
    </cacheField>
    <cacheField name="Profitability Index" numFmtId="0">
      <sharedItems containsSemiMixedTypes="0" containsString="0" containsNumber="1" minValue="0.75" maxValue="15.65"/>
    </cacheField>
    <cacheField name="NPV" numFmtId="0">
      <sharedItems containsSemiMixedTypes="0" containsString="0" containsNumber="1" containsInteger="1" minValue="-177651" maxValue="2490015"/>
    </cacheField>
    <cacheField name="IRR" numFmtId="0">
      <sharedItems containsSemiMixedTypes="0" containsString="0" containsNumber="1" minValue="0.05" maxValue="2.0099999999999998"/>
    </cacheField>
  </cacheFields>
  <extLst>
    <ext xmlns:x14="http://schemas.microsoft.com/office/spreadsheetml/2009/9/main" uri="{725AE2AE-9491-48be-B2B4-4EB974FC3084}">
      <x14:pivotCacheDefinition pivotCacheId="17094534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x v="0"/>
    <x v="0"/>
    <x v="0"/>
    <n v="-150000"/>
    <x v="0"/>
    <n v="-100000"/>
    <x v="0"/>
    <n v="4.8"/>
    <n v="1.7"/>
  </r>
  <r>
    <x v="1"/>
    <x v="1"/>
    <x v="1"/>
    <x v="1"/>
    <x v="1"/>
    <n v="15000"/>
    <x v="1"/>
    <n v="200000"/>
    <x v="1"/>
    <n v="4.8"/>
    <n v="1.7"/>
  </r>
  <r>
    <x v="1"/>
    <x v="2"/>
    <x v="2"/>
    <x v="2"/>
    <x v="2"/>
    <n v="15500"/>
    <x v="2"/>
    <n v="180000"/>
    <x v="2"/>
    <n v="4.8499999999999996"/>
    <n v="1.78"/>
  </r>
  <r>
    <x v="1"/>
    <x v="3"/>
    <x v="3"/>
    <x v="3"/>
    <x v="3"/>
    <n v="13000"/>
    <x v="3"/>
    <n v="215000"/>
    <x v="3"/>
    <n v="4.8"/>
    <n v="1.8"/>
  </r>
  <r>
    <x v="1"/>
    <x v="4"/>
    <x v="4"/>
    <x v="4"/>
    <x v="4"/>
    <n v="18000"/>
    <x v="4"/>
    <n v="220000"/>
    <x v="4"/>
    <n v="4.75"/>
    <n v="1.81"/>
  </r>
  <r>
    <x v="1"/>
    <x v="5"/>
    <x v="1"/>
    <x v="2"/>
    <x v="5"/>
    <n v="16000"/>
    <x v="5"/>
    <n v="250000"/>
    <x v="5"/>
    <n v="4.7"/>
    <n v="1.78"/>
  </r>
  <r>
    <x v="1"/>
    <x v="6"/>
    <x v="2"/>
    <x v="4"/>
    <x v="6"/>
    <n v="18000"/>
    <x v="6"/>
    <n v="260000"/>
    <x v="6"/>
    <n v="4.68"/>
    <n v="1.7"/>
  </r>
  <r>
    <x v="1"/>
    <x v="7"/>
    <x v="3"/>
    <x v="1"/>
    <x v="4"/>
    <n v="15000"/>
    <x v="7"/>
    <n v="210000"/>
    <x v="7"/>
    <n v="4.5999999999999996"/>
    <n v="1.6"/>
  </r>
  <r>
    <x v="1"/>
    <x v="8"/>
    <x v="4"/>
    <x v="5"/>
    <x v="7"/>
    <n v="20000"/>
    <x v="8"/>
    <n v="260000"/>
    <x v="8"/>
    <n v="4.59"/>
    <n v="1.53"/>
  </r>
  <r>
    <x v="1"/>
    <x v="9"/>
    <x v="4"/>
    <x v="6"/>
    <x v="8"/>
    <n v="19697.560975609758"/>
    <x v="9"/>
    <n v="294294.47852760734"/>
    <x v="9"/>
    <n v="4.5"/>
    <n v="1.5"/>
  </r>
  <r>
    <x v="1"/>
    <x v="10"/>
    <x v="5"/>
    <x v="7"/>
    <x v="9"/>
    <n v="21234.146341463413"/>
    <x v="10"/>
    <n v="285865.03067484661"/>
    <x v="10"/>
    <n v="4.5"/>
    <n v="1.48"/>
  </r>
  <r>
    <x v="1"/>
    <x v="11"/>
    <x v="6"/>
    <x v="8"/>
    <x v="10"/>
    <n v="17751.219512195123"/>
    <x v="11"/>
    <n v="281116.56441717787"/>
    <x v="11"/>
    <n v="4.5"/>
    <n v="1.46"/>
  </r>
  <r>
    <x v="1"/>
    <x v="12"/>
    <x v="7"/>
    <x v="9"/>
    <x v="11"/>
    <n v="24117.073170731706"/>
    <x v="12"/>
    <n v="314723.92638036812"/>
    <x v="12"/>
    <n v="4.5"/>
    <n v="1.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n v="1.49"/>
    <n v="121634"/>
    <n v="0.19"/>
  </r>
  <r>
    <x v="1"/>
    <x v="1"/>
    <n v="1.6"/>
    <n v="59949"/>
    <n v="0.2"/>
  </r>
  <r>
    <x v="2"/>
    <x v="2"/>
    <n v="2.35"/>
    <n v="33650"/>
    <n v="0.28000000000000003"/>
  </r>
  <r>
    <x v="3"/>
    <x v="3"/>
    <n v="0.75"/>
    <n v="-177651"/>
    <n v="0.05"/>
  </r>
  <r>
    <x v="4"/>
    <x v="4"/>
    <n v="15.65"/>
    <n v="2490015"/>
    <n v="2.009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D31C18-F0B2-4BAA-A525-9498C0CADDE4}"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D6" firstHeaderRow="0" firstDataRow="1" firstDataCol="1"/>
  <pivotFields count="5">
    <pivotField axis="axisRow" showAll="0">
      <items count="6">
        <item h="1" x="0"/>
        <item x="1"/>
        <item h="1" x="2"/>
        <item h="1" x="3"/>
        <item h="1" x="4"/>
        <item t="default"/>
      </items>
    </pivotField>
    <pivotField axis="axisRow" showAll="0">
      <items count="6">
        <item x="4"/>
        <item x="2"/>
        <item x="1"/>
        <item x="0"/>
        <item x="3"/>
        <item t="default"/>
      </items>
    </pivotField>
    <pivotField dataField="1" showAll="0"/>
    <pivotField dataField="1" showAll="0"/>
    <pivotField dataField="1" showAll="0"/>
  </pivotFields>
  <rowFields count="2">
    <field x="1"/>
    <field x="0"/>
  </rowFields>
  <rowItems count="3">
    <i>
      <x v="2"/>
    </i>
    <i r="1">
      <x v="1"/>
    </i>
    <i t="grand">
      <x/>
    </i>
  </rowItems>
  <colFields count="1">
    <field x="-2"/>
  </colFields>
  <colItems count="3">
    <i>
      <x/>
    </i>
    <i i="1">
      <x v="1"/>
    </i>
    <i i="2">
      <x v="2"/>
    </i>
  </colItems>
  <dataFields count="3">
    <dataField name="Sum of IRR" fld="4" baseField="0" baseItem="0"/>
    <dataField name="Sum of NPV" fld="3" baseField="0" baseItem="0"/>
    <dataField name="Sum of Profitability Index" fld="2" baseField="0" baseItem="0"/>
  </dataFields>
  <chartFormats count="6">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14" format="6"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1"/>
          </reference>
        </references>
      </pivotArea>
    </chartFormat>
    <chartFormat chart="1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B6B5A3-B714-40A7-8C3E-D8664F9630C4}"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F4" firstHeaderRow="0" firstDataRow="1" firstDataCol="1"/>
  <pivotFields count="11">
    <pivotField axis="axisRow" showAll="0">
      <items count="3">
        <item x="1"/>
        <item h="1" x="0"/>
        <item t="default"/>
      </items>
    </pivotField>
    <pivotField axis="axisRow" showAll="0">
      <items count="14">
        <item h="1" x="1"/>
        <item h="1" x="2"/>
        <item h="1" x="3"/>
        <item h="1" x="4"/>
        <item h="1" x="5"/>
        <item h="1" x="6"/>
        <item h="1" x="7"/>
        <item h="1" x="8"/>
        <item h="1" x="9"/>
        <item h="1" x="10"/>
        <item h="1" x="11"/>
        <item h="1" x="12"/>
        <item x="0"/>
        <item t="default"/>
      </items>
    </pivotField>
    <pivotField dataField="1" numFmtId="164" showAll="0">
      <items count="9">
        <item x="0"/>
        <item x="3"/>
        <item x="1"/>
        <item x="6"/>
        <item x="2"/>
        <item x="4"/>
        <item x="5"/>
        <item x="7"/>
        <item t="default"/>
      </items>
    </pivotField>
    <pivotField dataField="1" numFmtId="164" showAll="0">
      <items count="11">
        <item x="0"/>
        <item x="3"/>
        <item x="1"/>
        <item x="2"/>
        <item x="8"/>
        <item x="4"/>
        <item x="6"/>
        <item x="5"/>
        <item x="7"/>
        <item x="9"/>
        <item t="default"/>
      </items>
    </pivotField>
    <pivotField dataField="1" numFmtId="164" showAll="0">
      <items count="13">
        <item x="0"/>
        <item x="3"/>
        <item x="1"/>
        <item x="2"/>
        <item x="4"/>
        <item x="5"/>
        <item x="10"/>
        <item x="6"/>
        <item x="8"/>
        <item x="9"/>
        <item x="7"/>
        <item x="11"/>
        <item t="default"/>
      </items>
    </pivotField>
    <pivotField numFmtId="166" showAll="0"/>
    <pivotField dataField="1" numFmtId="164" showAll="0">
      <items count="14">
        <item x="0"/>
        <item x="3"/>
        <item x="7"/>
        <item x="1"/>
        <item x="2"/>
        <item x="5"/>
        <item x="11"/>
        <item x="6"/>
        <item x="4"/>
        <item x="9"/>
        <item x="8"/>
        <item x="10"/>
        <item x="12"/>
        <item t="default"/>
      </items>
    </pivotField>
    <pivotField numFmtId="167" showAll="0"/>
    <pivotField dataField="1" numFmtId="164" showAll="0">
      <items count="14">
        <item x="0"/>
        <item x="2"/>
        <item x="7"/>
        <item x="1"/>
        <item x="3"/>
        <item x="8"/>
        <item x="4"/>
        <item x="11"/>
        <item x="10"/>
        <item x="9"/>
        <item x="6"/>
        <item x="5"/>
        <item x="12"/>
        <item t="default"/>
      </items>
    </pivotField>
    <pivotField showAll="0"/>
    <pivotField showAll="0"/>
  </pivotFields>
  <rowFields count="2">
    <field x="0"/>
    <field x="1"/>
  </rowFields>
  <rowItems count="1">
    <i t="grand">
      <x/>
    </i>
  </rowItems>
  <colFields count="1">
    <field x="-2"/>
  </colFields>
  <colItems count="5">
    <i>
      <x/>
    </i>
    <i i="1">
      <x v="1"/>
    </i>
    <i i="2">
      <x v="2"/>
    </i>
    <i i="3">
      <x v="3"/>
    </i>
    <i i="4">
      <x v="4"/>
    </i>
  </colItems>
  <dataFields count="5">
    <dataField name="Sum of Project A" fld="2" baseField="0" baseItem="0"/>
    <dataField name="Sum of Project B " fld="3" baseField="0" baseItem="0"/>
    <dataField name="Sum of Project C" fld="4" baseField="0" baseItem="0"/>
    <dataField name="Sum of Project F1 -RM" fld="6" baseField="0" baseItem="0"/>
    <dataField name="Sum of Project F2 -RM" fld="8" baseField="0" baseItem="0"/>
  </dataFields>
  <formats count="9">
    <format dxfId="41">
      <pivotArea outline="0" collapsedLevelsAreSubtotals="1" fieldPosition="0"/>
    </format>
    <format dxfId="40">
      <pivotArea type="all" dataOnly="0" outline="0" fieldPosition="0"/>
    </format>
    <format dxfId="39">
      <pivotArea outline="0" collapsedLevelsAreSubtotals="1" fieldPosition="0"/>
    </format>
    <format dxfId="38">
      <pivotArea field="0" type="button" dataOnly="0" labelOnly="1" outline="0" axis="axisRow" fieldPosition="0"/>
    </format>
    <format dxfId="37">
      <pivotArea dataOnly="0" labelOnly="1" fieldPosition="0">
        <references count="1">
          <reference field="0" count="0"/>
        </references>
      </pivotArea>
    </format>
    <format dxfId="36">
      <pivotArea dataOnly="0" labelOnly="1" grandRow="1" outline="0" fieldPosition="0"/>
    </format>
    <format dxfId="35">
      <pivotArea dataOnly="0" labelOnly="1" fieldPosition="0">
        <references count="2">
          <reference field="0" count="1" selected="0">
            <x v="0"/>
          </reference>
          <reference field="1" count="12">
            <x v="0"/>
            <x v="1"/>
            <x v="2"/>
            <x v="3"/>
            <x v="4"/>
            <x v="5"/>
            <x v="6"/>
            <x v="7"/>
            <x v="8"/>
            <x v="9"/>
            <x v="10"/>
            <x v="11"/>
          </reference>
        </references>
      </pivotArea>
    </format>
    <format dxfId="34">
      <pivotArea dataOnly="0" labelOnly="1" fieldPosition="0">
        <references count="2">
          <reference field="0" count="1" selected="0">
            <x v="1"/>
          </reference>
          <reference field="1" count="1">
            <x v="12"/>
          </reference>
        </references>
      </pivotArea>
    </format>
    <format dxfId="33">
      <pivotArea dataOnly="0" labelOnly="1" outline="0" fieldPosition="0">
        <references count="1">
          <reference field="4294967294" count="5">
            <x v="0"/>
            <x v="1"/>
            <x v="2"/>
            <x v="3"/>
            <x v="4"/>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pivotArea type="data" outline="0" fieldPosition="0">
        <references count="3">
          <reference field="4294967294" count="1" selected="0">
            <x v="0"/>
          </reference>
          <reference field="0" count="1" selected="0">
            <x v="1"/>
          </reference>
          <reference field="1" count="1" selected="0">
            <x v="12"/>
          </reference>
        </references>
      </pivotArea>
    </chartFormat>
    <chartFormat chart="0" format="5">
      <pivotArea type="data" outline="0" fieldPosition="0">
        <references count="3">
          <reference field="4294967294" count="1" selected="0">
            <x v="3"/>
          </reference>
          <reference field="0" count="1" selected="0">
            <x v="0"/>
          </reference>
          <reference field="1" count="1" selected="0">
            <x v="3"/>
          </reference>
        </references>
      </pivotArea>
    </chartFormat>
    <chartFormat chart="20" format="11" series="1">
      <pivotArea type="data" outline="0" fieldPosition="0">
        <references count="1">
          <reference field="4294967294" count="1" selected="0">
            <x v="0"/>
          </reference>
        </references>
      </pivotArea>
    </chartFormat>
    <chartFormat chart="20" format="12" series="1">
      <pivotArea type="data" outline="0" fieldPosition="0">
        <references count="1">
          <reference field="4294967294" count="1" selected="0">
            <x v="1"/>
          </reference>
        </references>
      </pivotArea>
    </chartFormat>
    <chartFormat chart="20" format="13" series="1">
      <pivotArea type="data" outline="0" fieldPosition="0">
        <references count="1">
          <reference field="4294967294" count="1" selected="0">
            <x v="2"/>
          </reference>
        </references>
      </pivotArea>
    </chartFormat>
    <chartFormat chart="20" format="14" series="1">
      <pivotArea type="data" outline="0" fieldPosition="0">
        <references count="1">
          <reference field="4294967294" count="1" selected="0">
            <x v="3"/>
          </reference>
        </references>
      </pivotArea>
    </chartFormat>
    <chartFormat chart="20" format="15" series="1">
      <pivotArea type="data" outline="0" fieldPosition="0">
        <references count="1">
          <reference field="4294967294" count="1" selected="0">
            <x v="4"/>
          </reference>
        </references>
      </pivotArea>
    </chartFormat>
  </chartFormats>
  <pivotTableStyleInfo name="PivotStyleLight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AA50CA79-7708-495C-9B31-83D8E41CD712}" sourceName="Type">
  <pivotTables>
    <pivotTable tabId="41" name="PivotTable16"/>
  </pivotTables>
  <data>
    <tabular pivotCacheId="234052319">
      <items count="2">
        <i x="0"/>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Quarter" xr10:uid="{CE2A8293-36DC-4BB1-A2D2-5AC6D2CA57F9}" sourceName="Year-Quarter ">
  <pivotTables>
    <pivotTable tabId="41" name="PivotTable16"/>
  </pivotTables>
  <data>
    <tabular pivotCacheId="234052319">
      <items count="13">
        <i x="1"/>
        <i x="2"/>
        <i x="3"/>
        <i x="4"/>
        <i x="5"/>
        <i x="6"/>
        <i x="7"/>
        <i x="8"/>
        <i x="9"/>
        <i x="10"/>
        <i x="11"/>
        <i x="12"/>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rics1" xr10:uid="{9A8C7538-CDDD-4502-B3D4-596F6DF3E0A5}" sourceName="Metrics">
  <pivotTables>
    <pivotTable tabId="45" name="PivotTable22"/>
  </pivotTables>
  <data>
    <tabular pivotCacheId="1709453449">
      <items count="5">
        <i x="0"/>
        <i x="1" s="1"/>
        <i x="2"/>
        <i x="3"/>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rics" xr10:uid="{9CFE8DEA-A7B6-4AE4-B1C2-3B12F8A2A350}" sourceName="Metrics">
  <extLst>
    <x:ext xmlns:x15="http://schemas.microsoft.com/office/spreadsheetml/2010/11/main" uri="{2F2917AC-EB37-4324-AD4E-5DD8C200BD13}">
      <x15:tableSlicerCache tableId="1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2" xr10:uid="{724A0B99-842A-45C7-91CF-EEB5E455A775}" cache="Slicer_Type" caption="Type" style="SlicerStyleDark5" rowHeight="241300"/>
  <slicer name="Year-Quarter  2" xr10:uid="{99945113-BE33-4EA2-AFA2-333212DB5DD7}" cache="Slicer_Year_Quarter" caption="Year-Quarter " style="SlicerStyleDark5" rowHeight="241300"/>
  <slicer name="Metrics 2" xr10:uid="{D8277587-07F5-4CF0-809F-3B20EB00E865}" cache="Slicer_Metrics1" caption="Metrics"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trics 1" xr10:uid="{1604D19B-5AF2-47BA-AE52-AF4B21F18DDC}" cache="Slicer_Metrics1" caption="Metric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trics" xr10:uid="{0C75F273-02C7-4866-8E0D-22E3691801DE}" cache="Slicer_Metrics" caption="Metrics" style="SlicerStyleDark5"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7C9CB2A7-0026-416A-BEBE-82A9A243D724}" cache="Slicer_Type" caption="Type" style="SlicerStyleDark5" rowHeight="241300"/>
  <slicer name="Year-Quarter " xr10:uid="{32AA6436-BAF3-4038-95DE-F37F5C94F2B0}" cache="Slicer_Year_Quarter" caption="Year-Quarter "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1BB882-A31D-498E-BA26-1FDF81E9AA1F}" name="Table16" displayName="Table16" ref="A16:F20" totalsRowShown="0" headerRowDxfId="66" dataDxfId="64" headerRowBorderDxfId="65" tableBorderDxfId="63" totalsRowBorderDxfId="62">
  <autoFilter ref="A16:F20" xr:uid="{B31BB882-A31D-498E-BA26-1FDF81E9AA1F}"/>
  <tableColumns count="6">
    <tableColumn id="1" xr3:uid="{20C6CF5D-B57A-4D45-B072-B74800634A53}" name="Metrics" dataDxfId="61"/>
    <tableColumn id="2" xr3:uid="{FD1400FC-6013-4C99-9166-675D9D103C0F}" name="Project A" dataDxfId="60"/>
    <tableColumn id="3" xr3:uid="{8DEE01F3-E393-4825-A9FD-32A995D012BD}" name="Project B " dataDxfId="59"/>
    <tableColumn id="4" xr3:uid="{81F73CE8-F8D3-4EEA-80B0-A9D9BCC3BA79}" name="Project C" dataDxfId="58"/>
    <tableColumn id="5" xr3:uid="{882935DA-33AA-4071-B734-5D35EEBEC7E7}" name="Project F1 -RM" dataDxfId="57"/>
    <tableColumn id="6" xr3:uid="{4181706A-B7F3-47B5-9177-45C29C6683B8}" name="Project F2 -RM" dataDxfId="5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2613417-BECA-461B-A9BA-5E71D714DAAE}" name="Table17" displayName="Table17" ref="A1:K14" totalsRowShown="0" headerRowDxfId="55" dataDxfId="54" tableBorderDxfId="53">
  <autoFilter ref="A1:K14" xr:uid="{E2613417-BECA-461B-A9BA-5E71D714DAAE}"/>
  <tableColumns count="11">
    <tableColumn id="1" xr3:uid="{EEF639DD-68A1-43A5-B273-AAA5164EDEE7}" name="Type" dataDxfId="52"/>
    <tableColumn id="2" xr3:uid="{43BDD7B2-C745-4341-8AFE-3F1EB79FBB25}" name="Year-Quarter " dataDxfId="51"/>
    <tableColumn id="3" xr3:uid="{17E27814-B50C-48D0-9546-C360E77B372D}" name="Project A" dataDxfId="50"/>
    <tableColumn id="4" xr3:uid="{9229F203-4090-4648-9458-A2B404507BCB}" name="Project B " dataDxfId="49"/>
    <tableColumn id="5" xr3:uid="{8C3EE632-1D7F-48B3-97D0-6872159FC52E}" name="Project C" dataDxfId="48"/>
    <tableColumn id="6" xr3:uid="{428B70F7-D2EC-4FF6-A874-D6173DC23B93}" name="Project F1" dataDxfId="47"/>
    <tableColumn id="7" xr3:uid="{ED94BA95-A78F-4BA7-B1B4-05BF6A421E89}" name="Project F1 -RM" dataDxfId="46">
      <calculatedColumnFormula>F2*J2</calculatedColumnFormula>
    </tableColumn>
    <tableColumn id="8" xr3:uid="{C2A86A38-865B-4C0B-BF09-0C6BD1361474}" name="Project F2 " dataDxfId="45"/>
    <tableColumn id="9" xr3:uid="{F0ED939A-2941-4DFE-905B-E33CBEC276AE}" name="Project F2 -RM" dataDxfId="44">
      <calculatedColumnFormula>H2*K2</calculatedColumnFormula>
    </tableColumn>
    <tableColumn id="10" xr3:uid="{548B465A-9628-4EB4-92DC-AA015DA0BA61}" name="FOREX (RM/USD" dataDxfId="43"/>
    <tableColumn id="11" xr3:uid="{324BB3B7-D284-42AB-A0DE-AB0C225DA126}" name="FOREX (RMB/RM)" dataDxfId="4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AF5F42-23F3-4501-AAB8-9CCA1001F7BE}" name="Table1" displayName="Table1" ref="A1:E16" totalsRowShown="0">
  <autoFilter ref="A1:E16" xr:uid="{29AF5F42-23F3-4501-AAB8-9CCA1001F7BE}"/>
  <tableColumns count="5">
    <tableColumn id="1" xr3:uid="{221C7263-1D69-4EC5-B42F-E7CC33C81F19}" name="Qurater" dataDxfId="32"/>
    <tableColumn id="2" xr3:uid="{D46727C6-0E1E-400F-A4D6-FF95FF386302}" name="Sales"/>
    <tableColumn id="3" xr3:uid="{115763C3-2BE8-4D89-B4A0-232CBC6EFD60}" name="Forecast(Sales)" dataDxfId="31">
      <calculatedColumnFormula>_xlfn.FORECAST.ETS(A2,$B$2:$B$12,$A$2:$A$12,1,1)</calculatedColumnFormula>
    </tableColumn>
    <tableColumn id="4" xr3:uid="{F275F4AA-5979-4110-BAB1-3C005038CC40}" name="Lower Confidence Bound(Sales)" dataDxfId="30">
      <calculatedColumnFormula>C2-_xlfn.FORECAST.ETS.CONFINT(A2,$B$2:$B$12,$A$2:$A$12,0.95,1,1)</calculatedColumnFormula>
    </tableColumn>
    <tableColumn id="5" xr3:uid="{6AB0D07D-4C7A-4E33-A644-840CBDB1C680}" name="Upper Confidence Bound(Sales)" dataDxfId="29">
      <calculatedColumnFormula>C2+_xlfn.FORECAST.ETS.CONFINT(A2,$B$2:$B$12,$A$2:$A$12,0.95,1,1)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A7A9F0-1145-4605-9DB0-310475CEC3C5}" name="Table2" displayName="Table2" ref="G1:H8" totalsRowShown="0">
  <autoFilter ref="G1:H8" xr:uid="{A4A7A9F0-1145-4605-9DB0-310475CEC3C5}"/>
  <tableColumns count="2">
    <tableColumn id="1" xr3:uid="{C2CACC7F-7D7C-4D9C-ADCA-B12074BF6F46}" name="Statistic"/>
    <tableColumn id="2" xr3:uid="{1AAFFEDD-B45E-4043-8B20-A045E2735A47}" name="Value" dataDxfId="2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1A45EE-2F26-4EE9-9323-F716AC1E878F}" name="Table3" displayName="Table3" ref="A1:E16" totalsRowShown="0">
  <autoFilter ref="A1:E16" xr:uid="{F61A45EE-2F26-4EE9-9323-F716AC1E878F}"/>
  <tableColumns count="5">
    <tableColumn id="1" xr3:uid="{C9729480-6B81-4CEB-917F-E06C65102B00}" name="Qurater" dataDxfId="27"/>
    <tableColumn id="2" xr3:uid="{80478CBB-A997-4771-B052-32FA0B1714FE}" name="Sales"/>
    <tableColumn id="3" xr3:uid="{EB184B1A-3AAA-4D3E-BACC-EDCBEAF204E9}" name="Forecast(Sales)" dataDxfId="26">
      <calculatedColumnFormula>_xlfn.FORECAST.ETS(A2,$B$2:$B$12,$A$2:$A$12,1,1)</calculatedColumnFormula>
    </tableColumn>
    <tableColumn id="4" xr3:uid="{DD9CB3D1-D6B5-4EE1-849C-EE8ABDBA98F3}" name="Lower Confidence Bound(Sales)" dataDxfId="25">
      <calculatedColumnFormula>C2-_xlfn.FORECAST.ETS.CONFINT(A2,$B$2:$B$12,$A$2:$A$12,0.95,1,1)</calculatedColumnFormula>
    </tableColumn>
    <tableColumn id="5" xr3:uid="{8FD1A147-D5EE-4B99-B190-CC02C41A7FF1}" name="Upper Confidence Bound(Sales)" dataDxfId="24">
      <calculatedColumnFormula>C2+_xlfn.FORECAST.ETS.CONFINT(A2,$B$2:$B$12,$A$2:$A$12,0.95,1,1)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95E00-226D-4466-AB07-8136655F88B6}" name="Table4" displayName="Table4" ref="G1:H8" totalsRowShown="0">
  <autoFilter ref="G1:H8" xr:uid="{34295E00-226D-4466-AB07-8136655F88B6}"/>
  <tableColumns count="2">
    <tableColumn id="1" xr3:uid="{8554FCD7-6FC4-4FF0-B8AB-6383184F3B87}" name="Statistic"/>
    <tableColumn id="2" xr3:uid="{657821FE-8C72-4128-B563-17B6492CA7B0}" name="Value" dataDxfId="2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263EB2-460F-4637-A579-3AA63F680601}" name="Table5" displayName="Table5" ref="A1:E16" totalsRowShown="0">
  <autoFilter ref="A1:E16" xr:uid="{D9263EB2-460F-4637-A579-3AA63F680601}"/>
  <tableColumns count="5">
    <tableColumn id="1" xr3:uid="{9E73B842-3B93-4FB5-828A-1F773F05539A}" name="Timeline" dataDxfId="22"/>
    <tableColumn id="2" xr3:uid="{23C72B77-5839-4EC0-B561-FFC3A8764969}" name="Values"/>
    <tableColumn id="3" xr3:uid="{A58E5352-90B8-43B8-BB69-40DA6F42DD47}" name="Forecast" dataDxfId="21">
      <calculatedColumnFormula>_xlfn.FORECAST.ETS(A2,$B$2:$B$12,$A$2:$A$12,1,1)</calculatedColumnFormula>
    </tableColumn>
    <tableColumn id="4" xr3:uid="{462353E6-6333-4145-ABDB-5E32A58D887E}" name="Lower Confidence Bound" dataDxfId="20">
      <calculatedColumnFormula>C2-_xlfn.FORECAST.ETS.CONFINT(A2,$B$2:$B$12,$A$2:$A$12,0.95,1,1)</calculatedColumnFormula>
    </tableColumn>
    <tableColumn id="5" xr3:uid="{EE839014-F9DF-41C0-81FD-6E482260015B}" name="Upper Confidence Bound" dataDxfId="19">
      <calculatedColumnFormula>C2+_xlfn.FORECAST.ETS.CONFINT(A2,$B$2:$B$12,$A$2:$A$12,0.95,1,1)</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1FBF285-6B93-4D5C-83CF-DD3F133F2639}" name="Table6" displayName="Table6" ref="G1:H8" totalsRowShown="0">
  <autoFilter ref="G1:H8" xr:uid="{B1FBF285-6B93-4D5C-83CF-DD3F133F2639}"/>
  <tableColumns count="2">
    <tableColumn id="1" xr3:uid="{C5BCE829-FA5C-4749-AA95-AEDCE877B136}" name="Statistic"/>
    <tableColumn id="2" xr3:uid="{D7DE079A-D47C-4597-8942-627267E8524C}" name="Value" dataDxfId="1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77865CB-BDCF-4BF3-A5DC-8A0AF757DCF3}" name="Table7" displayName="Table7" ref="A1:E16" totalsRowShown="0">
  <autoFilter ref="A1:E16" xr:uid="{577865CB-BDCF-4BF3-A5DC-8A0AF757DCF3}"/>
  <tableColumns count="5">
    <tableColumn id="1" xr3:uid="{9B88A64D-B4A8-4852-99DC-0FA76B5D2190}" name="Qurater" dataDxfId="17"/>
    <tableColumn id="2" xr3:uid="{B6BEB1C4-5DC0-4A2D-A49F-0675BB74129E}" name="Sales"/>
    <tableColumn id="3" xr3:uid="{B12680A7-FEF3-4FDF-8643-4AA279E37909}" name="Forecast(Sales)" dataDxfId="16">
      <calculatedColumnFormula>_xlfn.FORECAST.ETS(A2,$B$2:$B$12,$A$2:$A$12,1,1)</calculatedColumnFormula>
    </tableColumn>
    <tableColumn id="4" xr3:uid="{221B98C6-BAAA-4457-924F-31633CE5E003}" name="Lower Confidence Bound(Sales)" dataDxfId="15">
      <calculatedColumnFormula>C2-_xlfn.FORECAST.ETS.CONFINT(A2,$B$2:$B$12,$A$2:$A$12,0.95,1,1)</calculatedColumnFormula>
    </tableColumn>
    <tableColumn id="5" xr3:uid="{AAD4D942-96C9-409C-86C0-8B8B9503C194}" name="Upper Confidence Bound(Sales)" dataDxfId="14">
      <calculatedColumnFormula>C2+_xlfn.FORECAST.ETS.CONFINT(A2,$B$2:$B$12,$A$2:$A$12,0.95,1,1)</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7A53989-7EF2-4A01-BB9D-55D3C9ABDD55}" name="Table8" displayName="Table8" ref="G1:H8" totalsRowShown="0">
  <autoFilter ref="G1:H8" xr:uid="{A7A53989-7EF2-4A01-BB9D-55D3C9ABDD55}"/>
  <tableColumns count="2">
    <tableColumn id="1" xr3:uid="{D6C447B2-2D0E-4DD4-830B-431354962510}" name="Statistic"/>
    <tableColumn id="2" xr3:uid="{6473A215-B541-44EB-9F39-C853DDAA07F3}" name="Value" dataDxfId="1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F3C2DDA-79C4-4672-9418-04E94A36BC25}" name="Table9" displayName="Table9" ref="A1:E16" totalsRowShown="0">
  <autoFilter ref="A1:E16" xr:uid="{7F3C2DDA-79C4-4672-9418-04E94A36BC25}"/>
  <tableColumns count="5">
    <tableColumn id="1" xr3:uid="{D432DB46-1483-4AE7-B4FE-D656FC3A504D}" name="Qurater" dataDxfId="12"/>
    <tableColumn id="2" xr3:uid="{74B1C1B2-FBA0-4F32-917B-3B7612FC4641}" name="Sales"/>
    <tableColumn id="3" xr3:uid="{1CFA580D-0CB9-4169-9518-99CB976B2C54}" name="Forecast(Sales)" dataDxfId="11">
      <calculatedColumnFormula>_xlfn.FORECAST.ETS(A2,$B$2:$B$12,$A$2:$A$12,1,1)</calculatedColumnFormula>
    </tableColumn>
    <tableColumn id="4" xr3:uid="{2AF71715-50EB-492A-B016-BEB7103CD9C0}" name="Lower Confidence Bound(Sales)" dataDxfId="10">
      <calculatedColumnFormula>C2-_xlfn.FORECAST.ETS.CONFINT(A2,$B$2:$B$12,$A$2:$A$12,0.95,1,1)</calculatedColumnFormula>
    </tableColumn>
    <tableColumn id="5" xr3:uid="{A2FDE511-65B9-4692-A3FD-42E17358EEF7}" name="Upper Confidence Bound(Sales)" dataDxfId="9">
      <calculatedColumnFormula>C2+_xlfn.FORECAST.ETS.CONFINT(A2,$B$2:$B$12,$A$2:$A$12,0.95,1,1)</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E32757-B10A-4E7A-B3C8-1DA0F3310345}" name="Table10" displayName="Table10" ref="G1:H8" totalsRowShown="0">
  <autoFilter ref="G1:H8" xr:uid="{B4E32757-B10A-4E7A-B3C8-1DA0F3310345}"/>
  <tableColumns count="2">
    <tableColumn id="1" xr3:uid="{16A18D64-F2E4-4138-AF6C-5B89D51266DE}" name="Statistic"/>
    <tableColumn id="2" xr3:uid="{DD178053-AE19-4E89-B503-4D2EF7EC430A}" name="Value" dataDxfId="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73D87B7-FD55-4EAE-8D42-36237C985EEE}" name="Table11" displayName="Table11" ref="A1:E16" totalsRowShown="0">
  <autoFilter ref="A1:E16" xr:uid="{A73D87B7-FD55-4EAE-8D42-36237C985EEE}"/>
  <tableColumns count="5">
    <tableColumn id="1" xr3:uid="{0DE0877A-C8EC-478B-B909-66D02670BFF8}" name="Qurater" dataDxfId="7"/>
    <tableColumn id="2" xr3:uid="{BE9B9D9A-11BE-4A95-96C7-6A1C9EF83740}" name="FOREX (RM/USD)"/>
    <tableColumn id="3" xr3:uid="{9C181E9E-748E-4E59-89BB-69C24C543D46}" name="Forecast(FOREX (RM/USD))">
      <calculatedColumnFormula>_xlfn.FORECAST.ETS(A2,$B$2:$B$12,$A$2:$A$12,1,1)</calculatedColumnFormula>
    </tableColumn>
    <tableColumn id="4" xr3:uid="{A01116DE-93D9-4E9E-9EB3-4AC7006515CD}" name="Lower Confidence Bound(FOREX (RM/USD))" dataDxfId="6">
      <calculatedColumnFormula>C2-_xlfn.FORECAST.ETS.CONFINT(A2,$B$2:$B$12,$A$2:$A$12,0.95,1,1)</calculatedColumnFormula>
    </tableColumn>
    <tableColumn id="5" xr3:uid="{0426F52D-4C59-4B46-9676-1EC0FFC74262}" name="Upper Confidence Bound(FOREX (RM/USD))" dataDxfId="5">
      <calculatedColumnFormula>C2+_xlfn.FORECAST.ETS.CONFINT(A2,$B$2:$B$12,$A$2:$A$12,0.95,1,1)</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DAD5AD1-85FE-4B18-A2FA-66E678A87E57}" name="Table12" displayName="Table12" ref="G1:H8" totalsRowShown="0">
  <autoFilter ref="G1:H8" xr:uid="{0DAD5AD1-85FE-4B18-A2FA-66E678A87E57}"/>
  <tableColumns count="2">
    <tableColumn id="1" xr3:uid="{D521A5C4-059F-4B29-BBE3-C015B6DA86CA}" name="Statistic"/>
    <tableColumn id="2" xr3:uid="{EE6FA1BF-660A-4CD7-A127-0C7C24C5BD09}" name="Value" dataDxfId="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D7803DB-3CC9-419A-89DB-34A81CD62730}" name="Table13" displayName="Table13" ref="A1:E16" totalsRowShown="0">
  <autoFilter ref="A1:E16" xr:uid="{5D7803DB-3CC9-419A-89DB-34A81CD62730}"/>
  <tableColumns count="5">
    <tableColumn id="1" xr3:uid="{A383A1A3-C504-4E6E-96A8-665C06ED370B}" name="Qurater" dataDxfId="3"/>
    <tableColumn id="2" xr3:uid="{EF4D740E-688C-4D03-AFA8-84D9ED66BAF1}" name="FOREX (RMB/RM)"/>
    <tableColumn id="3" xr3:uid="{0CFF83CA-0E22-459C-994C-83FE44DA4D59}" name="Forecast(FOREX (RMB/RM))">
      <calculatedColumnFormula>_xlfn.FORECAST.ETS(A2,$B$2:$B$12,$A$2:$A$12,1,1)</calculatedColumnFormula>
    </tableColumn>
    <tableColumn id="4" xr3:uid="{35C10499-084D-4D14-8B1E-D308ED1EC291}" name="Lower Confidence Bound(FOREX (RMB/RM))" dataDxfId="2">
      <calculatedColumnFormula>C2-_xlfn.FORECAST.ETS.CONFINT(A2,$B$2:$B$12,$A$2:$A$12,0.95,1,1)</calculatedColumnFormula>
    </tableColumn>
    <tableColumn id="5" xr3:uid="{34BEC95C-5D85-454A-8FC9-0B7121DE6370}" name="Upper Confidence Bound(FOREX (RMB/RM))" dataDxfId="1">
      <calculatedColumnFormula>C2+_xlfn.FORECAST.ETS.CONFINT(A2,$B$2:$B$12,$A$2:$A$12,0.95,1,1)</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E7DFA2C-D4C4-4C6D-A4EE-FBA89210FF3B}" name="Table14" displayName="Table14" ref="G1:H8" totalsRowShown="0">
  <autoFilter ref="G1:H8" xr:uid="{5E7DFA2C-D4C4-4C6D-A4EE-FBA89210FF3B}"/>
  <tableColumns count="2">
    <tableColumn id="1" xr3:uid="{A8BCAAF3-ABEC-4919-8773-A3504156BB27}" name="Statistic"/>
    <tableColumn id="2" xr3:uid="{FF6139CA-FF43-42B2-8E04-AF4358A94C4E}" name="Value" dataDxfId="0"/>
  </tableColumns>
  <tableStyleInfo name="TableStyleMedium2"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Atlas">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 dockstate="right" visibility="0" width="350" row="7">
    <wetp:webextensionref xmlns:r="http://schemas.openxmlformats.org/officeDocument/2006/relationships" r:id="rId2"/>
  </wetp:taskpane>
  <wetp:taskpane dockstate="right" visibility="0" width="350" row="7">
    <wetp:webextensionref xmlns:r="http://schemas.openxmlformats.org/officeDocument/2006/relationships" r:id="rId3"/>
  </wetp:taskpane>
</wetp:taskpanes>
</file>

<file path=xl/webextensions/webextension1.xml><?xml version="1.0" encoding="utf-8"?>
<we:webextension xmlns:we="http://schemas.microsoft.com/office/webextensions/webextension/2010/11" id="{D026F6C3-DB2B-41A2-AC81-7F5D4DEAFC3D}">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showOverwriteWarning\&quot;:true}]&quot;"/>
  </we:properties>
  <we:bindings>
    <we:binding id="UnnamedBinding_0_1705228242630" type="matrix" appref="{0754D95D-3824-4D11-B5B2-69CD9309FCA1}"/>
    <we:binding id="UnnamedBinding_1_1705228269676" type="matrix" appref="{894ADB11-BBC1-497E-8E7B-06D11F2561E0}"/>
    <we:binding id="UnnamedBinding_2_1705228269684" type="matrix" appref="{9839FD79-DBBA-49E6-ACE0-C5A5B925A079}"/>
    <we:binding id="UnnamedBinding_3_1705228306294" type="matrix" appref="{451C3FF8-CE59-4F50-8BD5-BB72AF99C68C}"/>
    <we:binding id="UnnamedBinding_4_1705228421927" type="matrix" appref="{AD11B843-17A5-4AF9-8760-4EBE32F7867F}"/>
    <we:binding id="UnnamedBinding_1_1705233318344" type="matrix" appref="{C2CA7E9F-F3D7-4D3F-9070-341E48E9494D}"/>
    <we:binding id="UnnamedBinding_2_1705233354209" type="matrix" appref="{F4B3B528-709E-48CE-9CD0-5EDC46129D42}"/>
    <we:binding id="UnnamedBinding_3_1705233354218" type="matrix" appref="{52D32CEB-4423-440F-80FB-C10F6B854CC9}"/>
    <we:binding id="UnnamedBinding_0_1705347386701" type="matrix" appref="{DB234C7C-F383-4CC4-AAF4-071438233029}"/>
  </we:bindings>
  <we:snapshot xmlns:r="http://schemas.openxmlformats.org/officeDocument/2006/relationships"/>
</we:webextension>
</file>

<file path=xl/webextensions/webextension2.xml><?xml version="1.0" encoding="utf-8"?>
<we:webextension xmlns:we="http://schemas.microsoft.com/office/webextensions/webextension/2010/11" id="{154D95E2-DBB8-4734-B1EF-9E3445FE765E}">
  <we:reference id="wa200005271" version="2.4.3.0" store="en-US" storeType="OMEX"/>
  <we:alternateReferences>
    <we:reference id="WA200005271" version="2.4.3.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ebextensions/webextension3.xml><?xml version="1.0" encoding="utf-8"?>
<we:webextension xmlns:we="http://schemas.microsoft.com/office/webextensions/webextension/2010/11" id="{B5FD85BA-90B1-4121-85F4-C3E8DD2C7BED}">
  <we:reference id="e849ddb8-6bbd-4833-bd4b-59030099d63e" version="1.0.0.0" store="EXCatalog" storeType="EXCatalog"/>
  <we:alternateReferences>
    <we:reference id="WA200000113" version="1.0.0.0" store="en-MY"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3.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AB8A5-61F6-4988-84A2-7EF79AE079F7}">
  <dimension ref="A1:T129"/>
  <sheetViews>
    <sheetView zoomScale="110" zoomScaleNormal="110" workbookViewId="0">
      <selection activeCell="F89" sqref="F89:G89"/>
    </sheetView>
  </sheetViews>
  <sheetFormatPr defaultRowHeight="14" x14ac:dyDescent="0.3"/>
  <cols>
    <col min="1" max="1" width="12.25" customWidth="1"/>
    <col min="2" max="2" width="14.5" customWidth="1"/>
    <col min="3" max="3" width="43.75" customWidth="1"/>
    <col min="4" max="4" width="17" customWidth="1"/>
    <col min="5" max="5" width="16.75" customWidth="1"/>
    <col min="6" max="6" width="13.75" customWidth="1"/>
    <col min="7" max="7" width="15.25" customWidth="1"/>
    <col min="8" max="8" width="22.33203125" customWidth="1"/>
    <col min="9" max="9" width="16.25" customWidth="1"/>
    <col min="10" max="10" width="14.58203125" customWidth="1"/>
    <col min="11" max="11" width="13.33203125" customWidth="1"/>
    <col min="12" max="12" width="16.75" customWidth="1"/>
    <col min="13" max="13" width="13" customWidth="1"/>
    <col min="14" max="14" width="11.83203125" customWidth="1"/>
    <col min="15" max="15" width="12.5" customWidth="1"/>
    <col min="16" max="16" width="12.75" customWidth="1"/>
    <col min="17" max="17" width="14" customWidth="1"/>
    <col min="18" max="18" width="13.5" customWidth="1"/>
    <col min="19" max="19" width="12" customWidth="1"/>
    <col min="20" max="20" width="12.75" customWidth="1"/>
  </cols>
  <sheetData>
    <row r="1" spans="1:20" ht="15.5" x14ac:dyDescent="0.35">
      <c r="A1" s="267"/>
      <c r="B1" s="268"/>
      <c r="F1" s="6" t="s">
        <v>14</v>
      </c>
      <c r="G1" s="6"/>
      <c r="H1" s="6" t="s">
        <v>35</v>
      </c>
      <c r="I1" s="7" t="s">
        <v>48</v>
      </c>
      <c r="J1" s="7" t="s">
        <v>17</v>
      </c>
      <c r="K1" s="7" t="s">
        <v>18</v>
      </c>
      <c r="L1" s="7" t="s">
        <v>19</v>
      </c>
      <c r="M1" s="7" t="s">
        <v>20</v>
      </c>
      <c r="N1" s="7" t="s">
        <v>21</v>
      </c>
      <c r="O1" s="7" t="s">
        <v>22</v>
      </c>
      <c r="P1" s="7" t="s">
        <v>23</v>
      </c>
      <c r="Q1" s="7" t="s">
        <v>28</v>
      </c>
      <c r="R1" s="7" t="s">
        <v>26</v>
      </c>
      <c r="S1" s="7" t="s">
        <v>29</v>
      </c>
      <c r="T1" s="7" t="s">
        <v>30</v>
      </c>
    </row>
    <row r="2" spans="1:20" ht="15" x14ac:dyDescent="0.3">
      <c r="A2" s="269" t="s">
        <v>100</v>
      </c>
      <c r="B2" s="269"/>
      <c r="C2" s="269"/>
      <c r="D2" s="269"/>
      <c r="F2" s="7" t="s">
        <v>0</v>
      </c>
      <c r="G2" s="8" t="s">
        <v>1</v>
      </c>
      <c r="H2" s="9">
        <v>250000</v>
      </c>
      <c r="I2" s="9">
        <v>50000</v>
      </c>
      <c r="J2" s="9">
        <v>55000</v>
      </c>
      <c r="K2" s="9">
        <v>45000</v>
      </c>
      <c r="L2" s="9">
        <v>60000</v>
      </c>
      <c r="M2" s="9">
        <v>50000</v>
      </c>
      <c r="N2" s="9">
        <v>55000</v>
      </c>
      <c r="O2" s="9">
        <v>45000</v>
      </c>
      <c r="P2" s="9">
        <v>60000</v>
      </c>
      <c r="Q2" s="10">
        <f>P2*(1+0.2)^(1/4)</f>
        <v>62798.108363526335</v>
      </c>
      <c r="R2" s="10">
        <f t="shared" ref="R2:T4" si="0">Q2*(1+0.2)^(1/4)</f>
        <v>65726.706900619945</v>
      </c>
      <c r="S2" s="10">
        <f t="shared" si="0"/>
        <v>68791.881038714433</v>
      </c>
      <c r="T2" s="10">
        <f t="shared" si="0"/>
        <v>72000.000000000029</v>
      </c>
    </row>
    <row r="3" spans="1:20" ht="15" x14ac:dyDescent="0.3">
      <c r="A3" s="269"/>
      <c r="B3" s="269"/>
      <c r="C3" s="269"/>
      <c r="D3" s="269"/>
      <c r="F3" s="7" t="s">
        <v>2</v>
      </c>
      <c r="G3" s="8" t="s">
        <v>1</v>
      </c>
      <c r="H3" s="9">
        <v>100000</v>
      </c>
      <c r="I3" s="9">
        <v>20000</v>
      </c>
      <c r="J3" s="9">
        <v>22000</v>
      </c>
      <c r="K3" s="9">
        <f>18000</f>
        <v>18000</v>
      </c>
      <c r="L3" s="9">
        <f>25000</f>
        <v>25000</v>
      </c>
      <c r="M3" s="9">
        <v>22000</v>
      </c>
      <c r="N3" s="9">
        <v>25000</v>
      </c>
      <c r="O3" s="9">
        <v>20000</v>
      </c>
      <c r="P3" s="9">
        <v>28000</v>
      </c>
      <c r="Q3" s="10">
        <f>P3*(1+0.2)^(1/4)</f>
        <v>29305.783902978957</v>
      </c>
      <c r="R3" s="10">
        <f t="shared" si="0"/>
        <v>30672.463220289304</v>
      </c>
      <c r="S3" s="10">
        <f t="shared" si="0"/>
        <v>32102.877818066729</v>
      </c>
      <c r="T3" s="10">
        <f t="shared" si="0"/>
        <v>33600.000000000007</v>
      </c>
    </row>
    <row r="4" spans="1:20" ht="15" x14ac:dyDescent="0.3">
      <c r="A4" s="269"/>
      <c r="B4" s="269"/>
      <c r="C4" s="269"/>
      <c r="D4" s="269"/>
      <c r="F4" s="7" t="s">
        <v>4</v>
      </c>
      <c r="G4" s="8" t="s">
        <v>1</v>
      </c>
      <c r="H4" s="9">
        <v>25000</v>
      </c>
      <c r="I4" s="9">
        <v>5000</v>
      </c>
      <c r="J4" s="9">
        <v>6000</v>
      </c>
      <c r="K4" s="9">
        <v>4000</v>
      </c>
      <c r="L4" s="9">
        <v>8000</v>
      </c>
      <c r="M4" s="9">
        <v>9000</v>
      </c>
      <c r="N4" s="9">
        <v>10000</v>
      </c>
      <c r="O4" s="9">
        <v>8000</v>
      </c>
      <c r="P4" s="9">
        <v>15000</v>
      </c>
      <c r="Q4" s="10">
        <f>P4*(1+0.2)^(1/4)</f>
        <v>15699.527090881584</v>
      </c>
      <c r="R4" s="10">
        <f t="shared" si="0"/>
        <v>16431.676725154986</v>
      </c>
      <c r="S4" s="10">
        <f t="shared" si="0"/>
        <v>17197.970259678608</v>
      </c>
      <c r="T4" s="10">
        <f t="shared" si="0"/>
        <v>18000.000000000007</v>
      </c>
    </row>
    <row r="5" spans="1:20" ht="15" x14ac:dyDescent="0.3">
      <c r="A5" s="269"/>
      <c r="B5" s="269"/>
      <c r="C5" s="269"/>
      <c r="D5" s="269"/>
      <c r="F5" s="7" t="s">
        <v>9</v>
      </c>
      <c r="G5" s="8" t="s">
        <v>1</v>
      </c>
      <c r="H5" s="12">
        <v>150000</v>
      </c>
      <c r="I5" s="12">
        <v>15000</v>
      </c>
      <c r="J5" s="12">
        <v>15500</v>
      </c>
      <c r="K5" s="12">
        <v>13000</v>
      </c>
      <c r="L5" s="12">
        <v>18000</v>
      </c>
      <c r="M5" s="12">
        <v>16000</v>
      </c>
      <c r="N5" s="12">
        <v>18000</v>
      </c>
      <c r="O5" s="12">
        <v>15000</v>
      </c>
      <c r="P5" s="12">
        <v>20000</v>
      </c>
      <c r="Q5" s="13">
        <f t="shared" ref="Q5:T5" si="1">P5*(1+0.2)^(1/4)</f>
        <v>20932.702787842114</v>
      </c>
      <c r="R5" s="13">
        <f t="shared" si="1"/>
        <v>21908.90230020665</v>
      </c>
      <c r="S5" s="13">
        <f t="shared" si="1"/>
        <v>22930.62701290481</v>
      </c>
      <c r="T5" s="13">
        <f t="shared" si="1"/>
        <v>24000.000000000007</v>
      </c>
    </row>
    <row r="6" spans="1:20" ht="15" x14ac:dyDescent="0.3">
      <c r="A6" s="269"/>
      <c r="B6" s="269"/>
      <c r="C6" s="269"/>
      <c r="D6" s="269"/>
      <c r="F6" s="7"/>
      <c r="G6" s="8" t="s">
        <v>33</v>
      </c>
      <c r="H6" s="8">
        <v>4.8</v>
      </c>
      <c r="I6" s="8">
        <v>4.8</v>
      </c>
      <c r="J6" s="8">
        <v>4.8499999999999996</v>
      </c>
      <c r="K6" s="8">
        <v>4.8</v>
      </c>
      <c r="L6" s="8">
        <v>4.75</v>
      </c>
      <c r="M6" s="8">
        <v>4.7</v>
      </c>
      <c r="N6" s="8">
        <v>4.68</v>
      </c>
      <c r="O6" s="8">
        <v>4.5999999999999996</v>
      </c>
      <c r="P6" s="8">
        <v>4.59</v>
      </c>
      <c r="Q6" s="8">
        <v>4.5</v>
      </c>
      <c r="R6" s="8">
        <v>4.5</v>
      </c>
      <c r="S6" s="8">
        <v>4.5</v>
      </c>
      <c r="T6" s="8">
        <v>4.5</v>
      </c>
    </row>
    <row r="7" spans="1:20" ht="15" x14ac:dyDescent="0.3">
      <c r="A7" s="269"/>
      <c r="B7" s="269"/>
      <c r="C7" s="269"/>
      <c r="D7" s="269"/>
      <c r="F7" s="7"/>
      <c r="G7" s="8" t="s">
        <v>3</v>
      </c>
      <c r="H7" s="9">
        <f>H5*H6</f>
        <v>720000</v>
      </c>
      <c r="I7" s="9">
        <f>I5*I6</f>
        <v>72000</v>
      </c>
      <c r="J7" s="9">
        <f t="shared" ref="J7:P7" si="2">J5*J6</f>
        <v>75175</v>
      </c>
      <c r="K7" s="9">
        <f t="shared" si="2"/>
        <v>62400</v>
      </c>
      <c r="L7" s="9">
        <f t="shared" si="2"/>
        <v>85500</v>
      </c>
      <c r="M7" s="9">
        <f t="shared" si="2"/>
        <v>75200</v>
      </c>
      <c r="N7" s="9">
        <f t="shared" si="2"/>
        <v>84240</v>
      </c>
      <c r="O7" s="9">
        <f t="shared" si="2"/>
        <v>69000</v>
      </c>
      <c r="P7" s="9">
        <f t="shared" si="2"/>
        <v>91800</v>
      </c>
      <c r="Q7" s="10">
        <f>Q5*Q6</f>
        <v>94197.16254528951</v>
      </c>
      <c r="R7" s="10">
        <f t="shared" ref="R7:T7" si="3">R5*R6</f>
        <v>98590.060350929925</v>
      </c>
      <c r="S7" s="10">
        <f t="shared" si="3"/>
        <v>103187.82155807165</v>
      </c>
      <c r="T7" s="10">
        <f t="shared" si="3"/>
        <v>108000.00000000003</v>
      </c>
    </row>
    <row r="8" spans="1:20" ht="15" x14ac:dyDescent="0.3">
      <c r="A8" s="269"/>
      <c r="B8" s="269"/>
      <c r="C8" s="269"/>
      <c r="D8" s="269"/>
      <c r="F8" s="7" t="s">
        <v>10</v>
      </c>
      <c r="G8" s="8" t="s">
        <v>1</v>
      </c>
      <c r="H8" s="14">
        <v>100000</v>
      </c>
      <c r="I8" s="14">
        <v>200000</v>
      </c>
      <c r="J8" s="14">
        <v>180000</v>
      </c>
      <c r="K8" s="14">
        <v>215000</v>
      </c>
      <c r="L8" s="14">
        <v>220000</v>
      </c>
      <c r="M8" s="14">
        <v>250000</v>
      </c>
      <c r="N8" s="14">
        <v>260000</v>
      </c>
      <c r="O8" s="14">
        <v>210000</v>
      </c>
      <c r="P8" s="14">
        <v>260000</v>
      </c>
      <c r="Q8" s="15">
        <f>P8*(1+0.2)^(1/4)</f>
        <v>272125.13624194748</v>
      </c>
      <c r="R8" s="15">
        <f t="shared" ref="R8:T8" si="4">Q8*(1+0.2)^(1/4)</f>
        <v>284815.72990268643</v>
      </c>
      <c r="S8" s="15">
        <f t="shared" si="4"/>
        <v>298098.15116776252</v>
      </c>
      <c r="T8" s="15">
        <f t="shared" si="4"/>
        <v>312000.00000000012</v>
      </c>
    </row>
    <row r="9" spans="1:20" ht="15" x14ac:dyDescent="0.3">
      <c r="A9" s="269"/>
      <c r="B9" s="269"/>
      <c r="C9" s="269"/>
      <c r="D9" s="269"/>
      <c r="F9" s="7"/>
      <c r="G9" s="8" t="s">
        <v>34</v>
      </c>
      <c r="H9" s="8">
        <v>1.7</v>
      </c>
      <c r="I9" s="8">
        <v>1.7</v>
      </c>
      <c r="J9" s="8">
        <v>1.78</v>
      </c>
      <c r="K9" s="8">
        <v>1.8</v>
      </c>
      <c r="L9" s="8">
        <v>1.81</v>
      </c>
      <c r="M9" s="8">
        <v>1.78</v>
      </c>
      <c r="N9" s="8">
        <v>1.7</v>
      </c>
      <c r="O9" s="8">
        <v>1.6</v>
      </c>
      <c r="P9" s="8">
        <v>1.53</v>
      </c>
      <c r="Q9" s="8">
        <v>1.5</v>
      </c>
      <c r="R9" s="8">
        <v>1.48</v>
      </c>
      <c r="S9" s="8">
        <v>1.46</v>
      </c>
      <c r="T9" s="8">
        <v>1.45</v>
      </c>
    </row>
    <row r="10" spans="1:20" ht="15" x14ac:dyDescent="0.3">
      <c r="B10" s="25"/>
      <c r="F10" s="7"/>
      <c r="G10" s="8" t="s">
        <v>3</v>
      </c>
      <c r="H10" s="61">
        <f>H8*H9</f>
        <v>170000</v>
      </c>
      <c r="I10" s="24">
        <f>I8*I9</f>
        <v>340000</v>
      </c>
      <c r="J10" s="24">
        <f t="shared" ref="J10:P10" si="5">J8*J9</f>
        <v>320400</v>
      </c>
      <c r="K10" s="24">
        <f t="shared" si="5"/>
        <v>387000</v>
      </c>
      <c r="L10" s="24">
        <f t="shared" si="5"/>
        <v>398200</v>
      </c>
      <c r="M10" s="24">
        <f t="shared" si="5"/>
        <v>445000</v>
      </c>
      <c r="N10" s="24">
        <f t="shared" si="5"/>
        <v>442000</v>
      </c>
      <c r="O10" s="24">
        <f t="shared" si="5"/>
        <v>336000</v>
      </c>
      <c r="P10" s="24">
        <f t="shared" si="5"/>
        <v>397800</v>
      </c>
      <c r="Q10" s="10">
        <f>Q8*Q9</f>
        <v>408187.70436292118</v>
      </c>
      <c r="R10" s="10">
        <f t="shared" ref="R10:T10" si="6">R8*R9</f>
        <v>421527.2802559759</v>
      </c>
      <c r="S10" s="10">
        <f t="shared" si="6"/>
        <v>435223.3007049333</v>
      </c>
      <c r="T10" s="10">
        <f t="shared" si="6"/>
        <v>452400.00000000017</v>
      </c>
    </row>
    <row r="11" spans="1:20" ht="14.5" x14ac:dyDescent="0.35">
      <c r="B11" s="25"/>
      <c r="D11" s="27"/>
    </row>
    <row r="12" spans="1:20" x14ac:dyDescent="0.3">
      <c r="B12" s="25"/>
      <c r="D12" s="58"/>
    </row>
    <row r="13" spans="1:20" x14ac:dyDescent="0.3">
      <c r="A13" s="30"/>
      <c r="B13" s="32"/>
      <c r="C13" s="30"/>
    </row>
    <row r="14" spans="1:20" ht="14.5" x14ac:dyDescent="0.35">
      <c r="A14" s="270" t="s">
        <v>0</v>
      </c>
      <c r="B14" s="270"/>
      <c r="C14" s="271"/>
      <c r="D14" s="265" t="s">
        <v>74</v>
      </c>
      <c r="E14" s="266"/>
      <c r="H14" s="92"/>
      <c r="I14" s="91"/>
      <c r="J14" s="100"/>
      <c r="K14" s="100"/>
      <c r="L14" s="91"/>
      <c r="M14" s="92"/>
    </row>
    <row r="15" spans="1:20" s="29" customFormat="1" ht="14.5" x14ac:dyDescent="0.35">
      <c r="A15" s="31" t="s">
        <v>53</v>
      </c>
      <c r="B15" s="31" t="s">
        <v>54</v>
      </c>
      <c r="C15" s="31" t="s">
        <v>55</v>
      </c>
      <c r="D15" s="95"/>
      <c r="E15" s="90"/>
      <c r="F15" s="90"/>
      <c r="G15" s="90"/>
      <c r="H15" s="90"/>
      <c r="J15" s="90"/>
      <c r="K15" s="90"/>
      <c r="L15" s="94"/>
      <c r="M15" s="97"/>
    </row>
    <row r="16" spans="1:20" s="29" customFormat="1" ht="15" x14ac:dyDescent="0.35">
      <c r="A16" s="56"/>
      <c r="B16" s="56" t="s">
        <v>69</v>
      </c>
      <c r="C16" s="93">
        <v>-250000</v>
      </c>
      <c r="D16" s="117">
        <f>C16</f>
        <v>-250000</v>
      </c>
      <c r="E16" s="97"/>
      <c r="F16" s="97"/>
      <c r="G16" s="97"/>
      <c r="H16" s="97"/>
      <c r="I16" s="96"/>
      <c r="J16" s="97"/>
      <c r="K16" s="97"/>
      <c r="L16" s="94"/>
      <c r="M16" s="97"/>
    </row>
    <row r="17" spans="1:13" ht="15" x14ac:dyDescent="0.35">
      <c r="A17" s="262" t="s">
        <v>49</v>
      </c>
      <c r="B17" s="37">
        <v>44681</v>
      </c>
      <c r="C17" s="33">
        <v>50000</v>
      </c>
      <c r="D17" s="118">
        <f>D16+C17</f>
        <v>-200000</v>
      </c>
      <c r="E17" s="89"/>
      <c r="F17" s="89"/>
      <c r="G17" s="89"/>
      <c r="H17" s="89"/>
      <c r="J17" s="89"/>
      <c r="K17" s="89"/>
      <c r="L17" s="101"/>
      <c r="M17" s="89"/>
    </row>
    <row r="18" spans="1:13" ht="15" x14ac:dyDescent="0.35">
      <c r="A18" s="263"/>
      <c r="B18" s="38">
        <v>44773</v>
      </c>
      <c r="C18" s="34">
        <v>55000</v>
      </c>
      <c r="D18" s="118">
        <f t="shared" ref="D18:D28" si="7">D17+C18</f>
        <v>-145000</v>
      </c>
      <c r="E18" s="89"/>
      <c r="F18" s="89"/>
      <c r="G18" s="89"/>
    </row>
    <row r="19" spans="1:13" ht="15" x14ac:dyDescent="0.35">
      <c r="A19" s="263"/>
      <c r="B19" s="38">
        <v>44865</v>
      </c>
      <c r="C19" s="87">
        <v>45000</v>
      </c>
      <c r="D19" s="118">
        <f t="shared" si="7"/>
        <v>-100000</v>
      </c>
      <c r="E19" s="92"/>
    </row>
    <row r="20" spans="1:13" ht="15" x14ac:dyDescent="0.35">
      <c r="A20" s="264"/>
      <c r="B20" s="38">
        <v>44957</v>
      </c>
      <c r="C20" s="88">
        <v>60000</v>
      </c>
      <c r="D20" s="118">
        <f t="shared" si="7"/>
        <v>-40000</v>
      </c>
      <c r="E20" s="258" t="s">
        <v>73</v>
      </c>
      <c r="F20" s="259"/>
    </row>
    <row r="21" spans="1:13" ht="15" x14ac:dyDescent="0.35">
      <c r="A21" s="262" t="s">
        <v>50</v>
      </c>
      <c r="B21" s="37">
        <v>45046</v>
      </c>
      <c r="C21" s="34">
        <v>50000</v>
      </c>
      <c r="D21" s="118">
        <f t="shared" si="7"/>
        <v>10000</v>
      </c>
      <c r="E21" s="260">
        <f xml:space="preserve"> 1+ABS(D20/C21)*(1/4)</f>
        <v>1.2</v>
      </c>
      <c r="F21" s="261"/>
    </row>
    <row r="22" spans="1:13" ht="15" x14ac:dyDescent="0.35">
      <c r="A22" s="263"/>
      <c r="B22" s="38">
        <v>45138</v>
      </c>
      <c r="C22" s="34">
        <v>55000</v>
      </c>
      <c r="D22" s="118">
        <f t="shared" si="7"/>
        <v>65000</v>
      </c>
    </row>
    <row r="23" spans="1:13" ht="15" x14ac:dyDescent="0.35">
      <c r="A23" s="263"/>
      <c r="B23" s="38">
        <v>45230</v>
      </c>
      <c r="C23" s="34">
        <v>45000</v>
      </c>
      <c r="D23" s="118">
        <f t="shared" si="7"/>
        <v>110000</v>
      </c>
    </row>
    <row r="24" spans="1:13" ht="15" x14ac:dyDescent="0.35">
      <c r="A24" s="264"/>
      <c r="B24" s="38">
        <v>45322</v>
      </c>
      <c r="C24" s="35">
        <v>60000</v>
      </c>
      <c r="D24" s="118">
        <f t="shared" si="7"/>
        <v>170000</v>
      </c>
    </row>
    <row r="25" spans="1:13" ht="15" x14ac:dyDescent="0.35">
      <c r="A25" s="262" t="s">
        <v>51</v>
      </c>
      <c r="B25" s="37">
        <v>45412</v>
      </c>
      <c r="C25" s="36">
        <f>'Exponential Triple Smoothing'!C24</f>
        <v>60000</v>
      </c>
      <c r="D25" s="118">
        <f t="shared" si="7"/>
        <v>230000</v>
      </c>
    </row>
    <row r="26" spans="1:13" ht="15" x14ac:dyDescent="0.35">
      <c r="A26" s="263"/>
      <c r="B26" s="38">
        <v>45504</v>
      </c>
      <c r="C26" s="36">
        <f>'Exponential Triple Smoothing'!C25</f>
        <v>66000</v>
      </c>
      <c r="D26" s="118">
        <f t="shared" si="7"/>
        <v>296000</v>
      </c>
    </row>
    <row r="27" spans="1:13" ht="15" x14ac:dyDescent="0.35">
      <c r="A27" s="263"/>
      <c r="B27" s="38">
        <v>45596</v>
      </c>
      <c r="C27" s="36">
        <f>'Exponential Triple Smoothing'!C26</f>
        <v>54000</v>
      </c>
      <c r="D27" s="118">
        <f t="shared" si="7"/>
        <v>350000</v>
      </c>
    </row>
    <row r="28" spans="1:13" ht="15" x14ac:dyDescent="0.35">
      <c r="A28" s="264"/>
      <c r="B28" s="44">
        <v>45688</v>
      </c>
      <c r="C28" s="36">
        <f>'Exponential Triple Smoothing'!C27</f>
        <v>72000</v>
      </c>
      <c r="D28" s="118">
        <f t="shared" si="7"/>
        <v>422000</v>
      </c>
    </row>
    <row r="29" spans="1:13" ht="14.5" x14ac:dyDescent="0.35">
      <c r="A29" s="43"/>
      <c r="B29" s="44"/>
      <c r="C29" s="53"/>
    </row>
    <row r="30" spans="1:13" ht="14.5" x14ac:dyDescent="0.3">
      <c r="A30" s="42"/>
      <c r="B30" s="40"/>
      <c r="C30" s="41"/>
    </row>
    <row r="31" spans="1:13" ht="14.5" x14ac:dyDescent="0.35">
      <c r="A31" s="270" t="s">
        <v>2</v>
      </c>
      <c r="B31" s="270"/>
      <c r="C31" s="271"/>
      <c r="D31" s="256" t="s">
        <v>75</v>
      </c>
      <c r="E31" s="257"/>
    </row>
    <row r="32" spans="1:13" ht="14.5" x14ac:dyDescent="0.35">
      <c r="A32" s="31" t="s">
        <v>53</v>
      </c>
      <c r="B32" s="31" t="s">
        <v>54</v>
      </c>
      <c r="C32" s="60" t="s">
        <v>55</v>
      </c>
      <c r="D32" s="39"/>
    </row>
    <row r="33" spans="1:20" ht="15" x14ac:dyDescent="0.35">
      <c r="A33" s="56"/>
      <c r="B33" s="54" t="s">
        <v>70</v>
      </c>
      <c r="C33" s="9">
        <v>-100000</v>
      </c>
      <c r="D33" s="119">
        <f>C33</f>
        <v>-100000</v>
      </c>
      <c r="E33" s="28"/>
      <c r="F33" s="28"/>
      <c r="G33" s="28"/>
      <c r="H33" s="28"/>
      <c r="I33" s="28"/>
      <c r="J33" s="28"/>
      <c r="K33" s="28"/>
      <c r="L33" s="28"/>
      <c r="M33" s="55"/>
      <c r="N33" s="55"/>
      <c r="O33" s="55"/>
      <c r="P33" s="59"/>
    </row>
    <row r="34" spans="1:20" ht="15" x14ac:dyDescent="0.35">
      <c r="A34" s="262" t="s">
        <v>49</v>
      </c>
      <c r="B34" s="37">
        <v>44681</v>
      </c>
      <c r="C34" s="9">
        <v>20000</v>
      </c>
      <c r="D34" s="119">
        <f>D33+C34</f>
        <v>-80000</v>
      </c>
    </row>
    <row r="35" spans="1:20" ht="15" x14ac:dyDescent="0.35">
      <c r="A35" s="263"/>
      <c r="B35" s="38">
        <v>44773</v>
      </c>
      <c r="C35" s="9">
        <v>22000</v>
      </c>
      <c r="D35" s="119">
        <f t="shared" ref="D35:D45" si="8">D34+C35</f>
        <v>-58000</v>
      </c>
    </row>
    <row r="36" spans="1:20" ht="15" x14ac:dyDescent="0.35">
      <c r="A36" s="263"/>
      <c r="B36" s="38">
        <v>44865</v>
      </c>
      <c r="C36" s="9">
        <f>18000</f>
        <v>18000</v>
      </c>
      <c r="D36" s="119">
        <f t="shared" si="8"/>
        <v>-40000</v>
      </c>
    </row>
    <row r="37" spans="1:20" ht="15" x14ac:dyDescent="0.35">
      <c r="A37" s="264"/>
      <c r="B37" s="38">
        <v>44957</v>
      </c>
      <c r="C37" s="9">
        <f>25000</f>
        <v>25000</v>
      </c>
      <c r="D37" s="119">
        <f t="shared" si="8"/>
        <v>-15000</v>
      </c>
      <c r="M37" s="5"/>
      <c r="N37" s="5"/>
      <c r="O37" s="5"/>
      <c r="P37" s="5"/>
      <c r="Q37" s="5"/>
      <c r="R37" s="5"/>
      <c r="S37" s="5"/>
      <c r="T37" s="5"/>
    </row>
    <row r="38" spans="1:20" ht="15" x14ac:dyDescent="0.35">
      <c r="A38" s="262" t="s">
        <v>50</v>
      </c>
      <c r="B38" s="37">
        <v>45046</v>
      </c>
      <c r="C38" s="9">
        <v>22000</v>
      </c>
      <c r="D38" s="119">
        <f t="shared" si="8"/>
        <v>7000</v>
      </c>
      <c r="E38" s="258" t="s">
        <v>73</v>
      </c>
      <c r="F38" s="259"/>
      <c r="L38" s="2"/>
      <c r="M38" s="28"/>
      <c r="N38" s="28"/>
      <c r="O38" s="28"/>
      <c r="P38" s="28"/>
      <c r="Q38" s="28"/>
      <c r="R38" s="28"/>
      <c r="S38" s="28"/>
      <c r="T38" s="28"/>
    </row>
    <row r="39" spans="1:20" ht="15" x14ac:dyDescent="0.35">
      <c r="A39" s="263"/>
      <c r="B39" s="38">
        <v>45138</v>
      </c>
      <c r="C39" s="9">
        <v>25000</v>
      </c>
      <c r="D39" s="119">
        <f t="shared" si="8"/>
        <v>32000</v>
      </c>
      <c r="E39" s="260">
        <f xml:space="preserve"> 1+ABS(D37/C38)*(1/4)</f>
        <v>1.1704545454545454</v>
      </c>
      <c r="F39" s="261"/>
      <c r="L39" s="2"/>
      <c r="M39" s="28"/>
      <c r="N39" s="28"/>
      <c r="O39" s="28"/>
      <c r="P39" s="28"/>
      <c r="Q39" s="28"/>
      <c r="R39" s="28"/>
      <c r="S39" s="28"/>
      <c r="T39" s="28"/>
    </row>
    <row r="40" spans="1:20" ht="15" x14ac:dyDescent="0.35">
      <c r="A40" s="263"/>
      <c r="B40" s="38">
        <v>45230</v>
      </c>
      <c r="C40" s="9">
        <v>20000</v>
      </c>
      <c r="D40" s="119">
        <f t="shared" si="8"/>
        <v>52000</v>
      </c>
      <c r="E40" s="103"/>
      <c r="L40" s="2"/>
      <c r="M40" s="28"/>
      <c r="N40" s="28"/>
      <c r="O40" s="28"/>
      <c r="P40" s="28"/>
      <c r="Q40" s="28"/>
      <c r="R40" s="28"/>
      <c r="S40" s="28"/>
      <c r="T40" s="28"/>
    </row>
    <row r="41" spans="1:20" ht="15" x14ac:dyDescent="0.35">
      <c r="A41" s="264"/>
      <c r="B41" s="38">
        <v>45322</v>
      </c>
      <c r="C41" s="9">
        <v>28000</v>
      </c>
      <c r="D41" s="119">
        <f t="shared" si="8"/>
        <v>80000</v>
      </c>
      <c r="E41" s="101"/>
    </row>
    <row r="42" spans="1:20" ht="15" x14ac:dyDescent="0.35">
      <c r="A42" s="262" t="s">
        <v>51</v>
      </c>
      <c r="B42" s="37">
        <v>45412</v>
      </c>
      <c r="C42" s="10">
        <f>'Exponential Triple Smoothing'!C42</f>
        <v>26611.764705882353</v>
      </c>
      <c r="D42" s="119">
        <f t="shared" si="8"/>
        <v>106611.76470588235</v>
      </c>
      <c r="E42" s="101"/>
    </row>
    <row r="43" spans="1:20" ht="15" x14ac:dyDescent="0.35">
      <c r="A43" s="263"/>
      <c r="B43" s="38">
        <v>45504</v>
      </c>
      <c r="C43" s="10">
        <f>'Exponential Triple Smoothing'!C43</f>
        <v>29752.941176470587</v>
      </c>
      <c r="D43" s="119">
        <f t="shared" si="8"/>
        <v>136364.70588235295</v>
      </c>
      <c r="E43" s="101"/>
    </row>
    <row r="44" spans="1:20" ht="15" x14ac:dyDescent="0.35">
      <c r="A44" s="263"/>
      <c r="B44" s="38">
        <v>45596</v>
      </c>
      <c r="C44" s="10">
        <f>'Exponential Triple Smoothing'!C44</f>
        <v>24070.588235294119</v>
      </c>
      <c r="D44" s="119">
        <f t="shared" si="8"/>
        <v>160435.29411764708</v>
      </c>
    </row>
    <row r="45" spans="1:20" ht="15" x14ac:dyDescent="0.35">
      <c r="A45" s="264"/>
      <c r="B45" s="44">
        <v>45688</v>
      </c>
      <c r="C45" s="10">
        <f>'Exponential Triple Smoothing'!C45</f>
        <v>33564.705882352937</v>
      </c>
      <c r="D45" s="119">
        <f t="shared" si="8"/>
        <v>194000</v>
      </c>
    </row>
    <row r="46" spans="1:20" ht="14.5" x14ac:dyDescent="0.35">
      <c r="A46" s="43"/>
      <c r="B46" s="44"/>
      <c r="C46" s="53"/>
    </row>
    <row r="48" spans="1:20" ht="14.5" x14ac:dyDescent="0.35">
      <c r="A48" s="270" t="s">
        <v>4</v>
      </c>
      <c r="B48" s="270"/>
      <c r="C48" s="271"/>
      <c r="D48" s="256" t="s">
        <v>75</v>
      </c>
      <c r="E48" s="257"/>
    </row>
    <row r="49" spans="1:6" ht="14.5" x14ac:dyDescent="0.35">
      <c r="A49" s="31" t="s">
        <v>53</v>
      </c>
      <c r="B49" s="31" t="s">
        <v>54</v>
      </c>
      <c r="C49" s="31" t="s">
        <v>55</v>
      </c>
    </row>
    <row r="50" spans="1:6" ht="15" x14ac:dyDescent="0.35">
      <c r="A50" s="56"/>
      <c r="B50" s="56" t="s">
        <v>71</v>
      </c>
      <c r="C50" s="9">
        <v>-25000</v>
      </c>
      <c r="D50" s="119">
        <f>C50</f>
        <v>-25000</v>
      </c>
    </row>
    <row r="51" spans="1:6" ht="15" x14ac:dyDescent="0.35">
      <c r="A51" s="262" t="s">
        <v>49</v>
      </c>
      <c r="B51" s="37">
        <v>44681</v>
      </c>
      <c r="C51" s="9">
        <v>5000</v>
      </c>
      <c r="D51" s="119">
        <f>D50+C51</f>
        <v>-20000</v>
      </c>
    </row>
    <row r="52" spans="1:6" ht="15" x14ac:dyDescent="0.35">
      <c r="A52" s="263"/>
      <c r="B52" s="38">
        <v>44773</v>
      </c>
      <c r="C52" s="9">
        <v>6000</v>
      </c>
      <c r="D52" s="119">
        <f t="shared" ref="D52:D62" si="9">D51+C52</f>
        <v>-14000</v>
      </c>
    </row>
    <row r="53" spans="1:6" ht="15" x14ac:dyDescent="0.35">
      <c r="A53" s="263"/>
      <c r="B53" s="38">
        <v>44865</v>
      </c>
      <c r="C53" s="9">
        <v>4000</v>
      </c>
      <c r="D53" s="119">
        <f t="shared" si="9"/>
        <v>-10000</v>
      </c>
    </row>
    <row r="54" spans="1:6" ht="15" x14ac:dyDescent="0.35">
      <c r="A54" s="264"/>
      <c r="B54" s="38">
        <v>44957</v>
      </c>
      <c r="C54" s="9">
        <v>8000</v>
      </c>
      <c r="D54" s="119">
        <f t="shared" si="9"/>
        <v>-2000</v>
      </c>
    </row>
    <row r="55" spans="1:6" ht="15" x14ac:dyDescent="0.35">
      <c r="A55" s="262" t="s">
        <v>50</v>
      </c>
      <c r="B55" s="37">
        <v>45046</v>
      </c>
      <c r="C55" s="9">
        <v>9000</v>
      </c>
      <c r="D55" s="119">
        <f t="shared" si="9"/>
        <v>7000</v>
      </c>
    </row>
    <row r="56" spans="1:6" ht="15" x14ac:dyDescent="0.35">
      <c r="A56" s="263"/>
      <c r="B56" s="38">
        <v>45138</v>
      </c>
      <c r="C56" s="9">
        <v>10000</v>
      </c>
      <c r="D56" s="119">
        <f t="shared" si="9"/>
        <v>17000</v>
      </c>
      <c r="E56" s="258" t="s">
        <v>73</v>
      </c>
      <c r="F56" s="259"/>
    </row>
    <row r="57" spans="1:6" ht="15" x14ac:dyDescent="0.35">
      <c r="A57" s="263"/>
      <c r="B57" s="38">
        <v>45230</v>
      </c>
      <c r="C57" s="9">
        <v>8000</v>
      </c>
      <c r="D57" s="119">
        <f t="shared" si="9"/>
        <v>25000</v>
      </c>
      <c r="E57" s="254">
        <f xml:space="preserve"> 1+ABS(D54/C55)*(1/4)</f>
        <v>1.0555555555555556</v>
      </c>
      <c r="F57" s="255"/>
    </row>
    <row r="58" spans="1:6" ht="15" x14ac:dyDescent="0.35">
      <c r="A58" s="264"/>
      <c r="B58" s="38">
        <v>45322</v>
      </c>
      <c r="C58" s="9">
        <v>15000</v>
      </c>
      <c r="D58" s="119">
        <f t="shared" si="9"/>
        <v>40000</v>
      </c>
    </row>
    <row r="59" spans="1:6" ht="15" x14ac:dyDescent="0.35">
      <c r="A59" s="262" t="s">
        <v>51</v>
      </c>
      <c r="B59" s="37">
        <v>45412</v>
      </c>
      <c r="C59" s="10">
        <f>'Exponential Triple Smoothing'!C60</f>
        <v>10878.260869565216</v>
      </c>
      <c r="D59" s="119">
        <f t="shared" si="9"/>
        <v>50878.260869565216</v>
      </c>
    </row>
    <row r="60" spans="1:6" ht="15" x14ac:dyDescent="0.35">
      <c r="A60" s="263"/>
      <c r="B60" s="38">
        <v>45504</v>
      </c>
      <c r="C60" s="10">
        <f>'Exponential Triple Smoothing'!C61</f>
        <v>12573.91304347826</v>
      </c>
      <c r="D60" s="119">
        <f t="shared" si="9"/>
        <v>63452.173913043473</v>
      </c>
    </row>
    <row r="61" spans="1:6" ht="15" x14ac:dyDescent="0.35">
      <c r="A61" s="263"/>
      <c r="B61" s="38">
        <v>45596</v>
      </c>
      <c r="C61" s="10">
        <f>'Exponential Triple Smoothing'!C62</f>
        <v>9182.608695652174</v>
      </c>
      <c r="D61" s="119">
        <f t="shared" si="9"/>
        <v>72634.782608695648</v>
      </c>
    </row>
    <row r="62" spans="1:6" ht="15" x14ac:dyDescent="0.35">
      <c r="A62" s="264"/>
      <c r="B62" s="44">
        <v>45688</v>
      </c>
      <c r="C62" s="10">
        <f>'Exponential Triple Smoothing'!C63</f>
        <v>17765.217391304348</v>
      </c>
      <c r="D62" s="119">
        <f t="shared" si="9"/>
        <v>90400</v>
      </c>
    </row>
    <row r="63" spans="1:6" ht="14.5" x14ac:dyDescent="0.35">
      <c r="A63" s="43"/>
      <c r="B63" s="44"/>
      <c r="C63" s="53"/>
    </row>
    <row r="65" spans="1:16" ht="14.5" x14ac:dyDescent="0.35">
      <c r="A65" s="270" t="s">
        <v>9</v>
      </c>
      <c r="B65" s="270"/>
      <c r="C65" s="271"/>
    </row>
    <row r="66" spans="1:16" ht="14.5" x14ac:dyDescent="0.35">
      <c r="A66" s="31" t="s">
        <v>53</v>
      </c>
      <c r="B66" s="31" t="s">
        <v>54</v>
      </c>
      <c r="C66" s="31" t="s">
        <v>55</v>
      </c>
      <c r="E66" s="256" t="s">
        <v>75</v>
      </c>
      <c r="F66" s="257"/>
    </row>
    <row r="67" spans="1:16" ht="15" x14ac:dyDescent="0.35">
      <c r="A67" s="56"/>
      <c r="B67" s="56" t="s">
        <v>70</v>
      </c>
      <c r="C67" s="57"/>
      <c r="D67" s="9">
        <v>-720000</v>
      </c>
      <c r="E67" s="26">
        <f>D67</f>
        <v>-720000</v>
      </c>
      <c r="F67" s="26"/>
      <c r="G67" s="116"/>
      <c r="H67" s="26"/>
      <c r="I67" s="26"/>
      <c r="J67" s="26"/>
      <c r="K67" s="26"/>
      <c r="L67" s="26"/>
      <c r="M67" s="26"/>
      <c r="N67" s="26"/>
      <c r="O67" s="26"/>
      <c r="P67" s="26"/>
    </row>
    <row r="68" spans="1:16" ht="15" x14ac:dyDescent="0.35">
      <c r="A68" s="262" t="s">
        <v>49</v>
      </c>
      <c r="B68" s="37">
        <v>44681</v>
      </c>
      <c r="C68" s="12">
        <v>15000</v>
      </c>
      <c r="D68" s="9">
        <v>72000</v>
      </c>
      <c r="E68" s="119">
        <f>E67+D68</f>
        <v>-648000</v>
      </c>
    </row>
    <row r="69" spans="1:16" ht="15" x14ac:dyDescent="0.35">
      <c r="A69" s="263"/>
      <c r="B69" s="38">
        <v>44773</v>
      </c>
      <c r="C69" s="12">
        <v>15500</v>
      </c>
      <c r="D69" s="9">
        <v>75175</v>
      </c>
      <c r="E69" s="119">
        <f t="shared" ref="E69:E79" si="10">E68+D69</f>
        <v>-572825</v>
      </c>
    </row>
    <row r="70" spans="1:16" ht="15" x14ac:dyDescent="0.35">
      <c r="A70" s="263"/>
      <c r="B70" s="38">
        <v>44865</v>
      </c>
      <c r="C70" s="12">
        <v>13000</v>
      </c>
      <c r="D70" s="9">
        <v>62400</v>
      </c>
      <c r="E70" s="119">
        <f t="shared" si="10"/>
        <v>-510425</v>
      </c>
    </row>
    <row r="71" spans="1:16" ht="15" x14ac:dyDescent="0.35">
      <c r="A71" s="264"/>
      <c r="B71" s="38">
        <v>44957</v>
      </c>
      <c r="C71" s="12">
        <v>18000</v>
      </c>
      <c r="D71" s="9">
        <v>85500</v>
      </c>
      <c r="E71" s="119">
        <f t="shared" si="10"/>
        <v>-424925</v>
      </c>
    </row>
    <row r="72" spans="1:16" ht="15" x14ac:dyDescent="0.35">
      <c r="A72" s="262" t="s">
        <v>50</v>
      </c>
      <c r="B72" s="37">
        <v>45046</v>
      </c>
      <c r="C72" s="12">
        <v>16000</v>
      </c>
      <c r="D72" s="9">
        <v>75200</v>
      </c>
      <c r="E72" s="119">
        <f t="shared" si="10"/>
        <v>-349725</v>
      </c>
    </row>
    <row r="73" spans="1:16" ht="15" x14ac:dyDescent="0.35">
      <c r="A73" s="263"/>
      <c r="B73" s="38">
        <v>45138</v>
      </c>
      <c r="C73" s="12">
        <v>18000</v>
      </c>
      <c r="D73" s="9">
        <v>84240</v>
      </c>
      <c r="E73" s="119">
        <f t="shared" si="10"/>
        <v>-265485</v>
      </c>
    </row>
    <row r="74" spans="1:16" ht="15" x14ac:dyDescent="0.35">
      <c r="A74" s="263"/>
      <c r="B74" s="38">
        <v>45230</v>
      </c>
      <c r="C74" s="12">
        <v>15000</v>
      </c>
      <c r="D74" s="9">
        <v>69000</v>
      </c>
      <c r="E74" s="119">
        <f t="shared" si="10"/>
        <v>-196485</v>
      </c>
      <c r="F74" s="258" t="s">
        <v>73</v>
      </c>
      <c r="G74" s="259"/>
    </row>
    <row r="75" spans="1:16" ht="15" x14ac:dyDescent="0.35">
      <c r="A75" s="264"/>
      <c r="B75" s="38">
        <v>45322</v>
      </c>
      <c r="C75" s="12">
        <v>20000</v>
      </c>
      <c r="D75" s="9">
        <v>91800</v>
      </c>
      <c r="E75" s="119">
        <f t="shared" si="10"/>
        <v>-104685</v>
      </c>
      <c r="F75" s="254">
        <f xml:space="preserve"> 2.25+ABS(E76/D77)*(1/4)</f>
        <v>2.2919815835822037</v>
      </c>
      <c r="G75" s="255"/>
    </row>
    <row r="76" spans="1:16" ht="15" x14ac:dyDescent="0.35">
      <c r="A76" s="262" t="s">
        <v>51</v>
      </c>
      <c r="B76" s="37">
        <v>45412</v>
      </c>
      <c r="C76" s="13">
        <f>'Exponential Triple Smoothing'!C78</f>
        <v>19697.560975609758</v>
      </c>
      <c r="D76" s="9">
        <f>'Project analysis'!N10</f>
        <v>88639.024390243911</v>
      </c>
      <c r="E76" s="119">
        <f t="shared" si="10"/>
        <v>-16045.975609756089</v>
      </c>
    </row>
    <row r="77" spans="1:16" ht="15" x14ac:dyDescent="0.35">
      <c r="A77" s="263"/>
      <c r="B77" s="38">
        <v>45504</v>
      </c>
      <c r="C77" s="13">
        <f>'Exponential Triple Smoothing'!C79</f>
        <v>21234.146341463413</v>
      </c>
      <c r="D77" s="9">
        <f>'Project analysis'!O10</f>
        <v>95553.658536585353</v>
      </c>
      <c r="E77" s="119">
        <f t="shared" si="10"/>
        <v>79507.682926829264</v>
      </c>
    </row>
    <row r="78" spans="1:16" ht="15" x14ac:dyDescent="0.35">
      <c r="A78" s="263"/>
      <c r="B78" s="38">
        <v>45596</v>
      </c>
      <c r="C78" s="13">
        <f>'Exponential Triple Smoothing'!C80</f>
        <v>17751.219512195123</v>
      </c>
      <c r="D78" s="9">
        <f>'Project analysis'!P10</f>
        <v>79880.487804878052</v>
      </c>
      <c r="E78" s="119">
        <f t="shared" si="10"/>
        <v>159388.1707317073</v>
      </c>
    </row>
    <row r="79" spans="1:16" ht="15" x14ac:dyDescent="0.35">
      <c r="A79" s="264"/>
      <c r="B79" s="44">
        <v>45688</v>
      </c>
      <c r="C79" s="13">
        <f>'Exponential Triple Smoothing'!C81</f>
        <v>24117.073170731706</v>
      </c>
      <c r="D79" s="9">
        <f>'Project analysis'!Q10</f>
        <v>108526.82926829268</v>
      </c>
      <c r="E79" s="119">
        <f t="shared" si="10"/>
        <v>267915</v>
      </c>
    </row>
    <row r="80" spans="1:16" ht="15.5" x14ac:dyDescent="0.3">
      <c r="A80" s="43"/>
      <c r="B80" s="44"/>
      <c r="C80" s="49"/>
    </row>
    <row r="81" spans="1:16" x14ac:dyDescent="0.3">
      <c r="I81" s="111"/>
    </row>
    <row r="82" spans="1:16" ht="14.5" x14ac:dyDescent="0.35">
      <c r="A82" s="270" t="s">
        <v>10</v>
      </c>
      <c r="B82" s="270"/>
      <c r="C82" s="271"/>
      <c r="E82" s="89"/>
      <c r="H82" s="106"/>
      <c r="I82" s="101"/>
      <c r="K82" s="111"/>
      <c r="L82" s="111"/>
    </row>
    <row r="83" spans="1:16" ht="14.5" x14ac:dyDescent="0.35">
      <c r="A83" s="31" t="s">
        <v>53</v>
      </c>
      <c r="B83" s="31" t="s">
        <v>54</v>
      </c>
      <c r="C83" s="31" t="s">
        <v>55</v>
      </c>
      <c r="E83" s="256" t="s">
        <v>75</v>
      </c>
      <c r="F83" s="257"/>
      <c r="G83" s="98"/>
      <c r="H83" s="98"/>
      <c r="I83" s="100"/>
      <c r="J83" s="110"/>
      <c r="K83" s="100"/>
      <c r="L83" s="100"/>
      <c r="M83" s="100"/>
      <c r="N83" s="99"/>
    </row>
    <row r="84" spans="1:16" ht="15" x14ac:dyDescent="0.35">
      <c r="A84" s="56"/>
      <c r="B84" s="56"/>
      <c r="C84" s="57"/>
      <c r="D84" s="86">
        <v>-170000</v>
      </c>
      <c r="E84" s="104">
        <f>D84</f>
        <v>-170000</v>
      </c>
      <c r="F84" s="105"/>
      <c r="G84" s="107"/>
      <c r="H84" s="107"/>
      <c r="I84" s="114"/>
      <c r="J84" s="108"/>
      <c r="K84" s="112"/>
      <c r="L84" s="112"/>
      <c r="M84" s="115"/>
      <c r="N84" s="109"/>
      <c r="O84" s="84"/>
      <c r="P84" s="84"/>
    </row>
    <row r="85" spans="1:16" ht="15" x14ac:dyDescent="0.3">
      <c r="A85" s="262" t="s">
        <v>49</v>
      </c>
      <c r="B85" s="37">
        <v>44681</v>
      </c>
      <c r="C85" s="14">
        <v>200000</v>
      </c>
      <c r="D85" s="85">
        <v>340000</v>
      </c>
      <c r="E85" s="120">
        <f>E84+D85</f>
        <v>170000</v>
      </c>
      <c r="H85" s="113"/>
      <c r="I85" s="101"/>
      <c r="K85" s="101"/>
      <c r="L85" s="101"/>
      <c r="M85" s="101"/>
    </row>
    <row r="86" spans="1:16" ht="15" x14ac:dyDescent="0.3">
      <c r="A86" s="263"/>
      <c r="B86" s="38">
        <v>44773</v>
      </c>
      <c r="C86" s="14">
        <v>180000</v>
      </c>
      <c r="D86" s="9">
        <v>320400</v>
      </c>
      <c r="E86" s="120">
        <f t="shared" ref="E86:E96" si="11">E85+D86</f>
        <v>490400</v>
      </c>
      <c r="H86" s="113"/>
      <c r="I86" s="101"/>
      <c r="K86" s="101"/>
      <c r="L86" s="101"/>
      <c r="M86" s="101"/>
    </row>
    <row r="87" spans="1:16" ht="15" x14ac:dyDescent="0.3">
      <c r="A87" s="263"/>
      <c r="B87" s="38">
        <v>44865</v>
      </c>
      <c r="C87" s="14">
        <v>215000</v>
      </c>
      <c r="D87" s="9">
        <v>387000</v>
      </c>
      <c r="E87" s="120">
        <f t="shared" si="11"/>
        <v>877400</v>
      </c>
      <c r="H87" s="113"/>
      <c r="I87" s="102"/>
      <c r="K87" s="102"/>
      <c r="L87" s="102"/>
      <c r="M87" s="102"/>
    </row>
    <row r="88" spans="1:16" ht="15" x14ac:dyDescent="0.3">
      <c r="A88" s="264"/>
      <c r="B88" s="38">
        <v>44957</v>
      </c>
      <c r="C88" s="14">
        <v>220000</v>
      </c>
      <c r="D88" s="9">
        <v>398200</v>
      </c>
      <c r="E88" s="120">
        <f t="shared" si="11"/>
        <v>1275600</v>
      </c>
      <c r="F88" s="258" t="s">
        <v>73</v>
      </c>
      <c r="G88" s="259"/>
      <c r="H88" s="102"/>
    </row>
    <row r="89" spans="1:16" ht="15" x14ac:dyDescent="0.3">
      <c r="A89" s="262" t="s">
        <v>50</v>
      </c>
      <c r="B89" s="37">
        <v>45046</v>
      </c>
      <c r="C89" s="14">
        <v>250000</v>
      </c>
      <c r="D89" s="9">
        <v>445000</v>
      </c>
      <c r="E89" s="120">
        <f t="shared" si="11"/>
        <v>1720600</v>
      </c>
      <c r="F89" s="254">
        <f xml:space="preserve"> 0+ABS(E84/D85)*(1/4)</f>
        <v>0.125</v>
      </c>
      <c r="G89" s="255"/>
    </row>
    <row r="90" spans="1:16" ht="15" x14ac:dyDescent="0.3">
      <c r="A90" s="263"/>
      <c r="B90" s="38">
        <v>45138</v>
      </c>
      <c r="C90" s="14">
        <v>260000</v>
      </c>
      <c r="D90" s="9">
        <v>442000</v>
      </c>
      <c r="E90" s="120">
        <f t="shared" si="11"/>
        <v>2162600</v>
      </c>
    </row>
    <row r="91" spans="1:16" ht="15" x14ac:dyDescent="0.3">
      <c r="A91" s="263"/>
      <c r="B91" s="38">
        <v>45230</v>
      </c>
      <c r="C91" s="14">
        <v>210000</v>
      </c>
      <c r="D91" s="9">
        <v>336000</v>
      </c>
      <c r="E91" s="120">
        <f t="shared" si="11"/>
        <v>2498600</v>
      </c>
    </row>
    <row r="92" spans="1:16" ht="15" x14ac:dyDescent="0.3">
      <c r="A92" s="264"/>
      <c r="B92" s="38">
        <v>45322</v>
      </c>
      <c r="C92" s="14">
        <v>260000</v>
      </c>
      <c r="D92" s="9">
        <v>397800</v>
      </c>
      <c r="E92" s="120">
        <f t="shared" si="11"/>
        <v>2896400</v>
      </c>
    </row>
    <row r="93" spans="1:16" ht="15" x14ac:dyDescent="0.3">
      <c r="A93" s="262" t="s">
        <v>51</v>
      </c>
      <c r="B93" s="37">
        <v>45412</v>
      </c>
      <c r="C93" s="15">
        <f>C92*(1+0.2)^(1/4)</f>
        <v>272125.13624194748</v>
      </c>
      <c r="D93" s="9">
        <f>'Project analysis'!N13</f>
        <v>441441.71779141098</v>
      </c>
      <c r="E93" s="120">
        <f t="shared" si="11"/>
        <v>3337841.7177914111</v>
      </c>
    </row>
    <row r="94" spans="1:16" ht="15" x14ac:dyDescent="0.3">
      <c r="A94" s="263"/>
      <c r="B94" s="38">
        <v>45504</v>
      </c>
      <c r="C94" s="15">
        <f>C93*(1+0.2)^(1/4)</f>
        <v>284815.72990268643</v>
      </c>
      <c r="D94" s="9">
        <f>'Project analysis'!O13</f>
        <v>423080.245398773</v>
      </c>
      <c r="E94" s="120">
        <f t="shared" si="11"/>
        <v>3760921.963190184</v>
      </c>
    </row>
    <row r="95" spans="1:16" ht="15" x14ac:dyDescent="0.3">
      <c r="A95" s="263"/>
      <c r="B95" s="38">
        <v>45596</v>
      </c>
      <c r="C95" s="15">
        <f>C94*(1+0.2)^(1/4)</f>
        <v>298098.15116776252</v>
      </c>
      <c r="D95" s="9">
        <f>'Project analysis'!P13</f>
        <v>410430.18404907966</v>
      </c>
      <c r="E95" s="120">
        <f t="shared" si="11"/>
        <v>4171352.1472392636</v>
      </c>
    </row>
    <row r="96" spans="1:16" ht="15" x14ac:dyDescent="0.3">
      <c r="A96" s="264"/>
      <c r="B96" s="44">
        <v>45688</v>
      </c>
      <c r="C96" s="15">
        <f>C95*(1+0.2)^(1/4)</f>
        <v>312000.00000000012</v>
      </c>
      <c r="D96" s="9">
        <f>'Project analysis'!Q13</f>
        <v>456349.69325153378</v>
      </c>
      <c r="E96" s="120">
        <f t="shared" si="11"/>
        <v>4627701.8404907975</v>
      </c>
    </row>
    <row r="97" spans="1:3" ht="15.5" x14ac:dyDescent="0.3">
      <c r="A97" s="43"/>
      <c r="B97" s="44"/>
      <c r="C97" s="52"/>
    </row>
    <row r="99" spans="1:3" ht="14.5" x14ac:dyDescent="0.35">
      <c r="A99" s="270" t="s">
        <v>33</v>
      </c>
      <c r="B99" s="270"/>
      <c r="C99" s="271"/>
    </row>
    <row r="100" spans="1:3" ht="14.5" x14ac:dyDescent="0.35">
      <c r="A100" s="31" t="s">
        <v>53</v>
      </c>
      <c r="B100" s="31" t="s">
        <v>54</v>
      </c>
      <c r="C100" s="31" t="s">
        <v>33</v>
      </c>
    </row>
    <row r="101" spans="1:3" ht="15" x14ac:dyDescent="0.3">
      <c r="A101" s="262" t="s">
        <v>49</v>
      </c>
      <c r="B101" s="37">
        <v>44681</v>
      </c>
      <c r="C101" s="8">
        <v>4.8</v>
      </c>
    </row>
    <row r="102" spans="1:3" ht="15" x14ac:dyDescent="0.3">
      <c r="A102" s="263"/>
      <c r="B102" s="38">
        <v>44773</v>
      </c>
      <c r="C102" s="8">
        <v>4.8499999999999996</v>
      </c>
    </row>
    <row r="103" spans="1:3" ht="15" x14ac:dyDescent="0.3">
      <c r="A103" s="263"/>
      <c r="B103" s="38">
        <v>44865</v>
      </c>
      <c r="C103" s="8">
        <v>4.8</v>
      </c>
    </row>
    <row r="104" spans="1:3" ht="15" x14ac:dyDescent="0.3">
      <c r="A104" s="264"/>
      <c r="B104" s="38">
        <v>44957</v>
      </c>
      <c r="C104" s="8">
        <v>4.75</v>
      </c>
    </row>
    <row r="105" spans="1:3" ht="15" x14ac:dyDescent="0.3">
      <c r="A105" s="262" t="s">
        <v>50</v>
      </c>
      <c r="B105" s="37">
        <v>45046</v>
      </c>
      <c r="C105" s="8">
        <v>4.7</v>
      </c>
    </row>
    <row r="106" spans="1:3" ht="15" x14ac:dyDescent="0.3">
      <c r="A106" s="263"/>
      <c r="B106" s="38">
        <v>45138</v>
      </c>
      <c r="C106" s="8">
        <v>4.68</v>
      </c>
    </row>
    <row r="107" spans="1:3" ht="15" x14ac:dyDescent="0.3">
      <c r="A107" s="263"/>
      <c r="B107" s="38">
        <v>45230</v>
      </c>
      <c r="C107" s="8">
        <v>4.5999999999999996</v>
      </c>
    </row>
    <row r="108" spans="1:3" ht="15" x14ac:dyDescent="0.3">
      <c r="A108" s="264"/>
      <c r="B108" s="38">
        <v>45322</v>
      </c>
      <c r="C108" s="8">
        <v>4.59</v>
      </c>
    </row>
    <row r="109" spans="1:3" ht="15" x14ac:dyDescent="0.3">
      <c r="A109" s="262" t="s">
        <v>51</v>
      </c>
      <c r="B109" s="37">
        <v>45412</v>
      </c>
      <c r="C109" s="8">
        <v>4.5</v>
      </c>
    </row>
    <row r="110" spans="1:3" ht="15" x14ac:dyDescent="0.3">
      <c r="A110" s="263"/>
      <c r="B110" s="38">
        <v>45504</v>
      </c>
      <c r="C110" s="8">
        <v>4.5</v>
      </c>
    </row>
    <row r="111" spans="1:3" ht="15" x14ac:dyDescent="0.3">
      <c r="A111" s="263"/>
      <c r="B111" s="38">
        <v>45596</v>
      </c>
      <c r="C111" s="8">
        <v>4.5</v>
      </c>
    </row>
    <row r="112" spans="1:3" ht="15" x14ac:dyDescent="0.3">
      <c r="A112" s="264"/>
      <c r="B112" s="44">
        <v>45688</v>
      </c>
      <c r="C112" s="8">
        <v>4.5</v>
      </c>
    </row>
    <row r="113" spans="1:3" ht="15.5" x14ac:dyDescent="0.3">
      <c r="A113" s="43"/>
      <c r="B113" s="44"/>
      <c r="C113" s="50"/>
    </row>
    <row r="115" spans="1:3" ht="14.5" x14ac:dyDescent="0.35">
      <c r="A115" s="270" t="s">
        <v>34</v>
      </c>
      <c r="B115" s="270"/>
      <c r="C115" s="271"/>
    </row>
    <row r="116" spans="1:3" ht="14.5" x14ac:dyDescent="0.35">
      <c r="A116" s="31" t="s">
        <v>53</v>
      </c>
      <c r="B116" s="31" t="s">
        <v>54</v>
      </c>
      <c r="C116" s="31" t="s">
        <v>34</v>
      </c>
    </row>
    <row r="117" spans="1:3" ht="15" x14ac:dyDescent="0.3">
      <c r="A117" s="262" t="s">
        <v>49</v>
      </c>
      <c r="B117" s="37">
        <v>44681</v>
      </c>
      <c r="C117" s="8">
        <v>1.7</v>
      </c>
    </row>
    <row r="118" spans="1:3" ht="15" x14ac:dyDescent="0.3">
      <c r="A118" s="263"/>
      <c r="B118" s="38">
        <v>44773</v>
      </c>
      <c r="C118" s="8">
        <v>1.78</v>
      </c>
    </row>
    <row r="119" spans="1:3" ht="15" x14ac:dyDescent="0.3">
      <c r="A119" s="263"/>
      <c r="B119" s="38">
        <v>44865</v>
      </c>
      <c r="C119" s="8">
        <v>1.8</v>
      </c>
    </row>
    <row r="120" spans="1:3" ht="15" x14ac:dyDescent="0.3">
      <c r="A120" s="264"/>
      <c r="B120" s="38">
        <v>44957</v>
      </c>
      <c r="C120" s="8">
        <v>1.81</v>
      </c>
    </row>
    <row r="121" spans="1:3" ht="15" x14ac:dyDescent="0.3">
      <c r="A121" s="262" t="s">
        <v>50</v>
      </c>
      <c r="B121" s="37">
        <v>45046</v>
      </c>
      <c r="C121" s="8">
        <v>1.78</v>
      </c>
    </row>
    <row r="122" spans="1:3" ht="15" x14ac:dyDescent="0.3">
      <c r="A122" s="263"/>
      <c r="B122" s="38">
        <v>45138</v>
      </c>
      <c r="C122" s="8">
        <v>1.7</v>
      </c>
    </row>
    <row r="123" spans="1:3" ht="15" x14ac:dyDescent="0.3">
      <c r="A123" s="263"/>
      <c r="B123" s="38">
        <v>45230</v>
      </c>
      <c r="C123" s="8">
        <v>1.6</v>
      </c>
    </row>
    <row r="124" spans="1:3" ht="15" x14ac:dyDescent="0.3">
      <c r="A124" s="264"/>
      <c r="B124" s="38">
        <v>45322</v>
      </c>
      <c r="C124" s="8">
        <v>1.53</v>
      </c>
    </row>
    <row r="125" spans="1:3" ht="15" x14ac:dyDescent="0.3">
      <c r="A125" s="262" t="s">
        <v>51</v>
      </c>
      <c r="B125" s="37">
        <v>45412</v>
      </c>
      <c r="C125" s="8">
        <v>1.5</v>
      </c>
    </row>
    <row r="126" spans="1:3" ht="15" x14ac:dyDescent="0.3">
      <c r="A126" s="263"/>
      <c r="B126" s="38">
        <v>45504</v>
      </c>
      <c r="C126" s="8">
        <v>1.48</v>
      </c>
    </row>
    <row r="127" spans="1:3" ht="15" x14ac:dyDescent="0.3">
      <c r="A127" s="263"/>
      <c r="B127" s="38">
        <v>45596</v>
      </c>
      <c r="C127" s="8">
        <v>1.46</v>
      </c>
    </row>
    <row r="128" spans="1:3" ht="15" x14ac:dyDescent="0.3">
      <c r="A128" s="264"/>
      <c r="B128" s="44">
        <v>45688</v>
      </c>
      <c r="C128" s="8">
        <v>1.45</v>
      </c>
    </row>
    <row r="129" spans="1:3" ht="15.5" x14ac:dyDescent="0.3">
      <c r="A129" s="43"/>
      <c r="B129" s="44"/>
      <c r="C129" s="50"/>
    </row>
  </sheetData>
  <mergeCells count="45">
    <mergeCell ref="A125:A128"/>
    <mergeCell ref="A82:C82"/>
    <mergeCell ref="A85:A88"/>
    <mergeCell ref="A89:A92"/>
    <mergeCell ref="A93:A96"/>
    <mergeCell ref="A99:C99"/>
    <mergeCell ref="A101:A104"/>
    <mergeCell ref="A105:A108"/>
    <mergeCell ref="A109:A112"/>
    <mergeCell ref="A115:C115"/>
    <mergeCell ref="A117:A120"/>
    <mergeCell ref="A121:A124"/>
    <mergeCell ref="A76:A79"/>
    <mergeCell ref="A31:C31"/>
    <mergeCell ref="A34:A37"/>
    <mergeCell ref="A38:A41"/>
    <mergeCell ref="A42:A45"/>
    <mergeCell ref="A48:C48"/>
    <mergeCell ref="A51:A54"/>
    <mergeCell ref="A55:A58"/>
    <mergeCell ref="A59:A62"/>
    <mergeCell ref="A65:C65"/>
    <mergeCell ref="A68:A71"/>
    <mergeCell ref="A72:A75"/>
    <mergeCell ref="A1:B1"/>
    <mergeCell ref="A2:D9"/>
    <mergeCell ref="A14:C14"/>
    <mergeCell ref="A17:A20"/>
    <mergeCell ref="A21:A24"/>
    <mergeCell ref="A25:A28"/>
    <mergeCell ref="D14:E14"/>
    <mergeCell ref="E20:F20"/>
    <mergeCell ref="E21:F21"/>
    <mergeCell ref="E38:F38"/>
    <mergeCell ref="E39:F39"/>
    <mergeCell ref="D31:E31"/>
    <mergeCell ref="D48:E48"/>
    <mergeCell ref="E56:F56"/>
    <mergeCell ref="E57:F57"/>
    <mergeCell ref="F89:G89"/>
    <mergeCell ref="E66:F66"/>
    <mergeCell ref="F74:G74"/>
    <mergeCell ref="F75:G75"/>
    <mergeCell ref="E83:F83"/>
    <mergeCell ref="F88:G88"/>
  </mergeCells>
  <pageMargins left="0.7" right="0.7" top="0.75" bottom="0.75" header="0.3" footer="0.3"/>
  <extLst>
    <ext xmlns:x15="http://schemas.microsoft.com/office/spreadsheetml/2010/11/main" uri="{F7C9EE02-42E1-4005-9D12-6889AFFD525C}">
      <x15:webExtensions xmlns:xm="http://schemas.microsoft.com/office/excel/2006/main">
        <x15:webExtension appRef="{C2CA7E9F-F3D7-4D3F-9070-341E48E9494D}">
          <xm:f>#REF!</xm:f>
        </x15:webExtension>
        <x15:webExtension appRef="{F4B3B528-709E-48CE-9CD0-5EDC46129D42}">
          <xm:f>#REF!</xm:f>
        </x15:webExtension>
        <x15:webExtension appRef="{52D32CEB-4423-440F-80FB-C10F6B854CC9}">
          <xm:f>#REF!</xm:f>
        </x15:webExtension>
        <x15:webExtension appRef="{0754D95D-3824-4D11-B5B2-69CD9309FCA1}">
          <xm:f>#REF!</xm:f>
        </x15:webExtension>
        <x15:webExtension appRef="{894ADB11-BBC1-497E-8E7B-06D11F2561E0}">
          <xm:f>#REF!</xm:f>
        </x15:webExtension>
        <x15:webExtension appRef="{9839FD79-DBBA-49E6-ACE0-C5A5B925A079}">
          <xm:f>#REF!</xm:f>
        </x15:webExtension>
        <x15:webExtension appRef="{451C3FF8-CE59-4F50-8BD5-BB72AF99C68C}">
          <xm:f>#REF!</xm:f>
        </x15:webExtension>
        <x15:webExtension appRef="{AD11B843-17A5-4AF9-8760-4EBE32F7867F}">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27CA8-B8B4-4385-B24A-02F879C8DFC5}">
  <dimension ref="A1:Z73"/>
  <sheetViews>
    <sheetView tabSelected="1" zoomScale="73" zoomScaleNormal="70" workbookViewId="0">
      <selection activeCell="E22" sqref="E22"/>
    </sheetView>
  </sheetViews>
  <sheetFormatPr defaultColWidth="9" defaultRowHeight="15" x14ac:dyDescent="0.3"/>
  <cols>
    <col min="1" max="1" width="23.33203125" style="2" customWidth="1"/>
    <col min="2" max="2" width="10.58203125" style="2" customWidth="1"/>
    <col min="3" max="3" width="10.5" style="2" customWidth="1"/>
    <col min="4" max="4" width="22.25" style="2" customWidth="1"/>
    <col min="5" max="5" width="22" style="2" customWidth="1"/>
    <col min="6" max="6" width="14.58203125" style="2" customWidth="1"/>
    <col min="7" max="7" width="14.83203125" style="2" customWidth="1"/>
    <col min="8" max="8" width="17.58203125" style="2" customWidth="1"/>
    <col min="9" max="9" width="16.33203125" style="2" customWidth="1"/>
    <col min="10" max="10" width="17" style="2" customWidth="1"/>
    <col min="11" max="11" width="17.75" style="2" customWidth="1"/>
    <col min="12" max="12" width="18.5" style="2" customWidth="1"/>
    <col min="13" max="13" width="15" style="2" customWidth="1"/>
    <col min="14" max="14" width="15.83203125" style="2" customWidth="1"/>
    <col min="15" max="15" width="15.58203125" style="2" customWidth="1"/>
    <col min="16" max="16" width="14.25" style="2" customWidth="1"/>
    <col min="17" max="17" width="40.75" style="2" customWidth="1"/>
    <col min="18" max="18" width="50.75" style="2" customWidth="1"/>
    <col min="19" max="19" width="21.83203125" style="2" customWidth="1"/>
    <col min="20" max="20" width="23.58203125" style="2" customWidth="1"/>
    <col min="21" max="21" width="22.5" style="2" customWidth="1"/>
    <col min="22" max="22" width="19.25" style="2" customWidth="1"/>
    <col min="23" max="23" width="19.75" style="2" customWidth="1"/>
    <col min="24" max="24" width="21.58203125" style="2" customWidth="1"/>
    <col min="25" max="25" width="19" style="2" customWidth="1"/>
    <col min="26" max="16384" width="9" style="2"/>
  </cols>
  <sheetData>
    <row r="1" spans="1:26" ht="15.5" x14ac:dyDescent="0.3">
      <c r="A1" s="1" t="s">
        <v>40</v>
      </c>
      <c r="F1" s="3"/>
      <c r="G1" s="3"/>
      <c r="H1" s="3"/>
      <c r="I1" s="3"/>
      <c r="J1" s="4"/>
      <c r="K1" s="3"/>
      <c r="L1" s="3"/>
      <c r="M1" s="3"/>
      <c r="N1" s="23" t="s">
        <v>36</v>
      </c>
      <c r="O1" s="5"/>
      <c r="P1" s="5"/>
      <c r="Q1" s="5"/>
      <c r="R1" s="20"/>
      <c r="S1" s="5" t="s">
        <v>27</v>
      </c>
      <c r="T1" s="5"/>
      <c r="U1" s="5"/>
    </row>
    <row r="2" spans="1:26" ht="15.5" x14ac:dyDescent="0.3">
      <c r="A2" s="1" t="s">
        <v>41</v>
      </c>
      <c r="F2" s="5"/>
      <c r="G2" s="5"/>
      <c r="H2" s="5"/>
      <c r="I2" s="5"/>
      <c r="J2" s="19"/>
      <c r="K2" s="5"/>
      <c r="L2" s="5"/>
      <c r="M2" s="5"/>
      <c r="N2" s="5"/>
      <c r="O2" s="5"/>
      <c r="P2" s="5"/>
      <c r="Q2" s="5"/>
      <c r="R2" s="20"/>
      <c r="S2" s="5"/>
      <c r="T2" s="5"/>
      <c r="U2" s="5"/>
    </row>
    <row r="3" spans="1:26" ht="15.5" x14ac:dyDescent="0.3">
      <c r="A3" s="1"/>
      <c r="F3" s="5"/>
      <c r="G3" s="5"/>
      <c r="H3" s="5"/>
      <c r="I3" s="5"/>
      <c r="J3" s="19"/>
      <c r="K3" s="5"/>
      <c r="L3" s="5"/>
      <c r="M3" s="5"/>
      <c r="N3" s="5"/>
      <c r="O3" s="5"/>
      <c r="P3" s="5"/>
      <c r="Q3" s="5"/>
      <c r="R3" s="20"/>
      <c r="S3" s="5"/>
      <c r="T3" s="5"/>
      <c r="U3" s="5"/>
      <c r="V3" s="272" t="s">
        <v>44</v>
      </c>
      <c r="W3" s="272"/>
      <c r="X3" s="272"/>
      <c r="Y3" s="272"/>
    </row>
    <row r="4" spans="1:26" ht="15.5" x14ac:dyDescent="0.3">
      <c r="A4" s="6" t="s">
        <v>14</v>
      </c>
      <c r="B4" s="6" t="s">
        <v>13</v>
      </c>
      <c r="C4" s="6" t="s">
        <v>12</v>
      </c>
      <c r="D4" s="6"/>
      <c r="E4" s="6" t="s">
        <v>35</v>
      </c>
      <c r="F4" s="7" t="s">
        <v>85</v>
      </c>
      <c r="G4" s="7" t="s">
        <v>17</v>
      </c>
      <c r="H4" s="7" t="s">
        <v>18</v>
      </c>
      <c r="I4" s="7" t="s">
        <v>19</v>
      </c>
      <c r="J4" s="7" t="s">
        <v>20</v>
      </c>
      <c r="K4" s="7" t="s">
        <v>21</v>
      </c>
      <c r="L4" s="7" t="s">
        <v>22</v>
      </c>
      <c r="M4" s="7" t="s">
        <v>23</v>
      </c>
      <c r="N4" s="7" t="s">
        <v>28</v>
      </c>
      <c r="O4" s="7" t="s">
        <v>26</v>
      </c>
      <c r="P4" s="7" t="s">
        <v>29</v>
      </c>
      <c r="Q4" s="7" t="s">
        <v>30</v>
      </c>
      <c r="R4" s="21" t="s">
        <v>47</v>
      </c>
      <c r="S4" s="22" t="s">
        <v>31</v>
      </c>
      <c r="T4" s="22" t="s">
        <v>103</v>
      </c>
      <c r="U4" s="22" t="s">
        <v>102</v>
      </c>
      <c r="V4" s="8" t="s">
        <v>25</v>
      </c>
      <c r="W4" s="8" t="s">
        <v>16</v>
      </c>
      <c r="X4" s="8" t="s">
        <v>5</v>
      </c>
      <c r="Y4" s="8" t="s">
        <v>6</v>
      </c>
    </row>
    <row r="5" spans="1:26" ht="15.5" x14ac:dyDescent="0.3">
      <c r="A5" s="7" t="s">
        <v>0</v>
      </c>
      <c r="B5" s="7" t="s">
        <v>7</v>
      </c>
      <c r="C5" s="7" t="s">
        <v>15</v>
      </c>
      <c r="D5" s="8" t="s">
        <v>1</v>
      </c>
      <c r="E5" s="63">
        <v>-250000</v>
      </c>
      <c r="F5" s="9">
        <v>50000</v>
      </c>
      <c r="G5" s="9">
        <v>55000</v>
      </c>
      <c r="H5" s="9">
        <v>45000</v>
      </c>
      <c r="I5" s="9">
        <v>60000</v>
      </c>
      <c r="J5" s="9">
        <v>50000</v>
      </c>
      <c r="K5" s="9">
        <v>55000</v>
      </c>
      <c r="L5" s="9">
        <v>45000</v>
      </c>
      <c r="M5" s="9">
        <v>60000</v>
      </c>
      <c r="N5" s="10">
        <f>'Seasonal Forcast for 2024'!R2</f>
        <v>60000</v>
      </c>
      <c r="O5" s="10">
        <f>'Seasonal Forcast for 2024'!S2</f>
        <v>66000</v>
      </c>
      <c r="P5" s="10">
        <f>'Seasonal Forcast for 2024'!T2</f>
        <v>54000</v>
      </c>
      <c r="Q5" s="10">
        <f>'Seasonal Forcast for 2024'!U2</f>
        <v>72000</v>
      </c>
      <c r="R5" s="273" t="s">
        <v>59</v>
      </c>
      <c r="S5" s="48">
        <f xml:space="preserve"> 'Exponential Triple Smoothing'!C28</f>
        <v>58506.015362384955</v>
      </c>
      <c r="T5" s="48">
        <f>'Exponential Triple Smoothing'!C29</f>
        <v>66938.847732238864</v>
      </c>
      <c r="U5" s="48">
        <f>'Exponential Triple Smoothing'!C30</f>
        <v>60355.007129024169</v>
      </c>
      <c r="V5" s="170">
        <f>Mterics!E21</f>
        <v>1.2</v>
      </c>
      <c r="W5" s="121">
        <f>1+(X5/-E5)</f>
        <v>1.4865342334491456</v>
      </c>
      <c r="X5" s="167">
        <f>NPV($X$22,F5:Q5)+E5</f>
        <v>121633.55836228642</v>
      </c>
      <c r="Y5" s="79">
        <f>IRR(E5:Q5)</f>
        <v>0.18705672375283044</v>
      </c>
    </row>
    <row r="6" spans="1:26" ht="15.5" x14ac:dyDescent="0.3">
      <c r="A6" s="7" t="s">
        <v>2</v>
      </c>
      <c r="B6" s="7" t="s">
        <v>7</v>
      </c>
      <c r="C6" s="7" t="s">
        <v>15</v>
      </c>
      <c r="D6" s="8" t="s">
        <v>1</v>
      </c>
      <c r="E6" s="63">
        <v>-100000</v>
      </c>
      <c r="F6" s="9">
        <v>20000</v>
      </c>
      <c r="G6" s="9">
        <v>22000</v>
      </c>
      <c r="H6" s="9">
        <f>18000</f>
        <v>18000</v>
      </c>
      <c r="I6" s="9">
        <f>25000</f>
        <v>25000</v>
      </c>
      <c r="J6" s="9">
        <v>22000</v>
      </c>
      <c r="K6" s="9">
        <v>25000</v>
      </c>
      <c r="L6" s="9">
        <v>20000</v>
      </c>
      <c r="M6" s="9">
        <v>28000</v>
      </c>
      <c r="N6" s="10">
        <f>'Seasonal Forcast for 2024'!R3</f>
        <v>26611.764705882353</v>
      </c>
      <c r="O6" s="10">
        <f>'Seasonal Forcast for 2024'!S3</f>
        <v>29752.941176470587</v>
      </c>
      <c r="P6" s="10">
        <f>'Seasonal Forcast for 2024'!T3</f>
        <v>24070.588235294119</v>
      </c>
      <c r="Q6" s="10">
        <f>'Seasonal Forcast for 2024'!U3</f>
        <v>33564.705882352937</v>
      </c>
      <c r="R6" s="274"/>
      <c r="S6" s="48">
        <f>'Exponential Triple Smoothing'!C46</f>
        <v>27640.022785260568</v>
      </c>
      <c r="T6" s="48">
        <f>'Exponential Triple Smoothing'!C47</f>
        <v>31657.681026115766</v>
      </c>
      <c r="U6" s="48">
        <f>'Exponential Triple Smoothing'!C48</f>
        <v>29098.375116790758</v>
      </c>
      <c r="V6" s="170">
        <f>Mterics!E39</f>
        <v>1.1704545454545454</v>
      </c>
      <c r="W6" s="121">
        <f t="shared" ref="W6:W8" si="0">1+(X6/-E6)</f>
        <v>1.5994850239185836</v>
      </c>
      <c r="X6" s="167">
        <f t="shared" ref="X6:X7" si="1">NPV($X$22,F6:Q6)+E6</f>
        <v>59948.502391858347</v>
      </c>
      <c r="Y6" s="79">
        <f t="shared" ref="Y6:Y8" si="2">IRR(E6:Q6)</f>
        <v>0.20171194596794906</v>
      </c>
    </row>
    <row r="7" spans="1:26" ht="15.5" x14ac:dyDescent="0.3">
      <c r="A7" s="7" t="s">
        <v>4</v>
      </c>
      <c r="B7" s="7" t="s">
        <v>7</v>
      </c>
      <c r="C7" s="7" t="s">
        <v>15</v>
      </c>
      <c r="D7" s="8" t="s">
        <v>1</v>
      </c>
      <c r="E7" s="63">
        <v>-25000</v>
      </c>
      <c r="F7" s="9">
        <v>5000</v>
      </c>
      <c r="G7" s="9">
        <v>6000</v>
      </c>
      <c r="H7" s="9">
        <v>4000</v>
      </c>
      <c r="I7" s="9">
        <v>8000</v>
      </c>
      <c r="J7" s="9">
        <v>9000</v>
      </c>
      <c r="K7" s="9">
        <v>10000</v>
      </c>
      <c r="L7" s="9">
        <v>8000</v>
      </c>
      <c r="M7" s="9">
        <v>15000</v>
      </c>
      <c r="N7" s="10">
        <f>'Seasonal Forcast for 2024'!R4</f>
        <v>10878.260869565216</v>
      </c>
      <c r="O7" s="10">
        <f>'Seasonal Forcast for 2024'!S4</f>
        <v>12573.91304347826</v>
      </c>
      <c r="P7" s="10">
        <f>'Seasonal Forcast for 2024'!T4</f>
        <v>9182.608695652174</v>
      </c>
      <c r="Q7" s="10">
        <f>'Seasonal Forcast for 2024'!U4</f>
        <v>17765.217391304348</v>
      </c>
      <c r="R7" s="274"/>
      <c r="S7" s="48">
        <f>'Exponential Triple Smoothing'!C64</f>
        <v>13839.178216365926</v>
      </c>
      <c r="T7" s="48">
        <f>'Exponential Triple Smoothing'!C65</f>
        <v>14576.305945824613</v>
      </c>
      <c r="U7" s="48">
        <f>'Exponential Triple Smoothing'!C66</f>
        <v>15313.433675283295</v>
      </c>
      <c r="V7" s="170">
        <f>Mterics!E57</f>
        <v>1.0555555555555556</v>
      </c>
      <c r="W7" s="121">
        <f t="shared" si="0"/>
        <v>2.3459852932375509</v>
      </c>
      <c r="X7" s="167">
        <f t="shared" si="1"/>
        <v>33649.632330938774</v>
      </c>
      <c r="Y7" s="79">
        <f t="shared" si="2"/>
        <v>0.27605972700585601</v>
      </c>
    </row>
    <row r="8" spans="1:26" ht="15.5" x14ac:dyDescent="0.3">
      <c r="A8" s="7" t="s">
        <v>9</v>
      </c>
      <c r="B8" s="7" t="s">
        <v>8</v>
      </c>
      <c r="C8" s="7" t="s">
        <v>24</v>
      </c>
      <c r="D8" s="8" t="s">
        <v>1</v>
      </c>
      <c r="E8" s="65">
        <v>-150000</v>
      </c>
      <c r="F8" s="12">
        <v>15000</v>
      </c>
      <c r="G8" s="12">
        <v>15500</v>
      </c>
      <c r="H8" s="12">
        <v>13000</v>
      </c>
      <c r="I8" s="12">
        <v>18000</v>
      </c>
      <c r="J8" s="12">
        <v>16000</v>
      </c>
      <c r="K8" s="12">
        <v>18000</v>
      </c>
      <c r="L8" s="12">
        <v>15000</v>
      </c>
      <c r="M8" s="12">
        <v>20000</v>
      </c>
      <c r="N8" s="13">
        <f>'Seasonal Forcast for 2024'!R5</f>
        <v>19697.560975609758</v>
      </c>
      <c r="O8" s="13">
        <f>'Seasonal Forcast for 2024'!S5</f>
        <v>21234.146341463413</v>
      </c>
      <c r="P8" s="13">
        <f>'Seasonal Forcast for 2024'!T5</f>
        <v>17751.219512195123</v>
      </c>
      <c r="Q8" s="13">
        <f>'Seasonal Forcast for 2024'!U5</f>
        <v>24117.073170731706</v>
      </c>
      <c r="R8" s="274"/>
      <c r="S8" s="49">
        <f>'Exponential Triple Smoothing'!C82</f>
        <v>20140.302088950008</v>
      </c>
      <c r="T8" s="49">
        <f>'Exponential Triple Smoothing'!C83</f>
        <v>22624.509278481659</v>
      </c>
      <c r="U8" s="49">
        <f>'Exponential Triple Smoothing'!C84</f>
        <v>21216.735710060933</v>
      </c>
      <c r="V8" s="121"/>
      <c r="W8" s="121">
        <f t="shared" si="0"/>
        <v>0.77384610070910631</v>
      </c>
      <c r="X8" s="165">
        <f>NPV($X$22,F8:Q8)+E8</f>
        <v>-33923.084893634048</v>
      </c>
      <c r="Y8" s="79">
        <f t="shared" si="2"/>
        <v>5.4461768044129721E-2</v>
      </c>
    </row>
    <row r="9" spans="1:26" ht="15.5" x14ac:dyDescent="0.3">
      <c r="A9" s="7"/>
      <c r="B9" s="7"/>
      <c r="C9" s="7"/>
      <c r="D9" s="8" t="s">
        <v>33</v>
      </c>
      <c r="E9" s="62">
        <v>4.8</v>
      </c>
      <c r="F9" s="8">
        <v>4.8</v>
      </c>
      <c r="G9" s="8">
        <v>4.8499999999999996</v>
      </c>
      <c r="H9" s="8">
        <v>4.8</v>
      </c>
      <c r="I9" s="8">
        <v>4.75</v>
      </c>
      <c r="J9" s="8">
        <v>4.7</v>
      </c>
      <c r="K9" s="8">
        <v>4.68</v>
      </c>
      <c r="L9" s="8">
        <v>4.5999999999999996</v>
      </c>
      <c r="M9" s="8">
        <v>4.59</v>
      </c>
      <c r="N9" s="8">
        <v>4.5</v>
      </c>
      <c r="O9" s="8">
        <v>4.5</v>
      </c>
      <c r="P9" s="8">
        <v>4.5</v>
      </c>
      <c r="Q9" s="8">
        <v>4.5</v>
      </c>
      <c r="R9" s="274"/>
      <c r="S9" s="50">
        <f>'Exponential Triple Smoothing'!C118</f>
        <v>4.4122241029480067</v>
      </c>
      <c r="T9" s="50">
        <f>'Exponential Triple Smoothing'!C119</f>
        <v>4.3739561405517318</v>
      </c>
      <c r="U9" s="50">
        <f>'Exponential Triple Smoothing'!C120</f>
        <v>4.3356881781554568</v>
      </c>
      <c r="V9" s="168"/>
      <c r="W9" s="122">
        <f t="shared" ref="W9:W13" si="3">1+(X9/-E9)</f>
        <v>1</v>
      </c>
      <c r="X9" s="80"/>
      <c r="Y9" s="81"/>
    </row>
    <row r="10" spans="1:26" ht="15.5" x14ac:dyDescent="0.3">
      <c r="A10" s="7"/>
      <c r="B10" s="7"/>
      <c r="C10" s="7"/>
      <c r="D10" s="8" t="s">
        <v>3</v>
      </c>
      <c r="E10" s="63">
        <f>E8*E9</f>
        <v>-720000</v>
      </c>
      <c r="F10" s="9">
        <f>F8*F9</f>
        <v>72000</v>
      </c>
      <c r="G10" s="9">
        <f t="shared" ref="G10:M10" si="4">G8*G9</f>
        <v>75175</v>
      </c>
      <c r="H10" s="9">
        <f t="shared" si="4"/>
        <v>62400</v>
      </c>
      <c r="I10" s="9">
        <f t="shared" si="4"/>
        <v>85500</v>
      </c>
      <c r="J10" s="9">
        <f t="shared" si="4"/>
        <v>75200</v>
      </c>
      <c r="K10" s="9">
        <f t="shared" si="4"/>
        <v>84240</v>
      </c>
      <c r="L10" s="9">
        <f t="shared" si="4"/>
        <v>69000</v>
      </c>
      <c r="M10" s="9">
        <f t="shared" si="4"/>
        <v>91800</v>
      </c>
      <c r="N10" s="10">
        <f>N8*N9</f>
        <v>88639.024390243911</v>
      </c>
      <c r="O10" s="10">
        <f t="shared" ref="O10:Q10" si="5">O8*O9</f>
        <v>95553.658536585353</v>
      </c>
      <c r="P10" s="10">
        <f t="shared" si="5"/>
        <v>79880.487804878052</v>
      </c>
      <c r="Q10" s="10">
        <f t="shared" si="5"/>
        <v>108526.82926829268</v>
      </c>
      <c r="R10" s="274"/>
      <c r="S10" s="51">
        <f>S8*S9</f>
        <v>88863.52631751931</v>
      </c>
      <c r="T10" s="51">
        <f>T8*T9</f>
        <v>98958.611285584484</v>
      </c>
      <c r="U10" s="51">
        <f>U8*U9</f>
        <v>91989.150197159906</v>
      </c>
      <c r="V10" s="170">
        <f>Mterics!F75</f>
        <v>2.2919815835822037</v>
      </c>
      <c r="W10" s="164">
        <f t="shared" si="3"/>
        <v>0.75326316756316969</v>
      </c>
      <c r="X10" s="167">
        <f>NPV($X$22,F10:Q10)+E10</f>
        <v>-177650.5193545178</v>
      </c>
      <c r="Y10" s="166">
        <f t="shared" ref="Y10:Y13" si="6">IRR(E10:Q10)</f>
        <v>4.9276743591811334E-2</v>
      </c>
    </row>
    <row r="11" spans="1:26" ht="15.5" x14ac:dyDescent="0.3">
      <c r="A11" s="7" t="s">
        <v>10</v>
      </c>
      <c r="B11" s="7" t="s">
        <v>8</v>
      </c>
      <c r="C11" s="7" t="s">
        <v>11</v>
      </c>
      <c r="D11" s="8" t="s">
        <v>1</v>
      </c>
      <c r="E11" s="64">
        <v>-100000</v>
      </c>
      <c r="F11" s="14">
        <v>200000</v>
      </c>
      <c r="G11" s="14">
        <v>180000</v>
      </c>
      <c r="H11" s="14">
        <v>215000</v>
      </c>
      <c r="I11" s="14">
        <v>220000</v>
      </c>
      <c r="J11" s="14">
        <v>250000</v>
      </c>
      <c r="K11" s="14">
        <v>260000</v>
      </c>
      <c r="L11" s="14">
        <v>210000</v>
      </c>
      <c r="M11" s="14">
        <v>260000</v>
      </c>
      <c r="N11" s="15">
        <f>'Seasonal Forcast for 2024'!R8</f>
        <v>294294.47852760734</v>
      </c>
      <c r="O11" s="15">
        <f>'Seasonal Forcast for 2024'!S8</f>
        <v>285865.03067484661</v>
      </c>
      <c r="P11" s="15">
        <f>'Seasonal Forcast for 2024'!T8</f>
        <v>281116.56441717787</v>
      </c>
      <c r="Q11" s="15">
        <f>'Seasonal Forcast for 2024'!U8</f>
        <v>314723.92638036812</v>
      </c>
      <c r="R11" s="274"/>
      <c r="S11" s="52">
        <f>'Exponential Triple Smoothing'!C100</f>
        <v>314298.12525867834</v>
      </c>
      <c r="T11" s="52">
        <f>'Exponential Triple Smoothing'!C101</f>
        <v>324301.2923481139</v>
      </c>
      <c r="U11" s="52">
        <f>'Exponential Triple Smoothing'!C102</f>
        <v>334304.45943754946</v>
      </c>
      <c r="V11" s="11"/>
      <c r="W11" s="164">
        <f t="shared" si="3"/>
        <v>16.072561456225628</v>
      </c>
      <c r="X11" s="82">
        <f>NPV($X$22,F11:Q11)+E11</f>
        <v>1507256.1456225628</v>
      </c>
      <c r="Y11" s="166">
        <f t="shared" si="6"/>
        <v>1.9780102890338092</v>
      </c>
    </row>
    <row r="12" spans="1:26" ht="15.5" x14ac:dyDescent="0.3">
      <c r="A12" s="7"/>
      <c r="B12" s="7"/>
      <c r="C12" s="7"/>
      <c r="D12" s="8" t="s">
        <v>34</v>
      </c>
      <c r="E12" s="62">
        <v>1.7</v>
      </c>
      <c r="F12" s="8">
        <v>1.7</v>
      </c>
      <c r="G12" s="8">
        <v>1.78</v>
      </c>
      <c r="H12" s="8">
        <v>1.8</v>
      </c>
      <c r="I12" s="8">
        <v>1.81</v>
      </c>
      <c r="J12" s="8">
        <v>1.78</v>
      </c>
      <c r="K12" s="8">
        <v>1.7</v>
      </c>
      <c r="L12" s="8">
        <v>1.6</v>
      </c>
      <c r="M12" s="8">
        <v>1.53</v>
      </c>
      <c r="N12" s="8">
        <v>1.5</v>
      </c>
      <c r="O12" s="8">
        <v>1.48</v>
      </c>
      <c r="P12" s="8">
        <v>1.46</v>
      </c>
      <c r="Q12" s="8">
        <v>1.45</v>
      </c>
      <c r="R12" s="274"/>
      <c r="S12" s="50">
        <f>'Exponential Triple Smoothing'!C136</f>
        <v>1.3917852187171982</v>
      </c>
      <c r="T12" s="50">
        <f>'Exponential Triple Smoothing'!C137</f>
        <v>1.3576966545390343</v>
      </c>
      <c r="U12" s="50">
        <f>'Exponential Triple Smoothing'!C138</f>
        <v>1.3236080903608705</v>
      </c>
      <c r="V12" s="168"/>
      <c r="W12" s="122">
        <f t="shared" si="3"/>
        <v>1</v>
      </c>
      <c r="X12" s="80"/>
      <c r="Y12" s="81"/>
    </row>
    <row r="13" spans="1:26" ht="15.5" x14ac:dyDescent="0.3">
      <c r="A13" s="7"/>
      <c r="B13" s="7"/>
      <c r="C13" s="7"/>
      <c r="D13" s="8" t="s">
        <v>3</v>
      </c>
      <c r="E13" s="66">
        <f>E11*E12</f>
        <v>-170000</v>
      </c>
      <c r="F13" s="24">
        <f>F11*F12</f>
        <v>340000</v>
      </c>
      <c r="G13" s="24">
        <f t="shared" ref="G13:M13" si="7">G11*G12</f>
        <v>320400</v>
      </c>
      <c r="H13" s="24">
        <f t="shared" si="7"/>
        <v>387000</v>
      </c>
      <c r="I13" s="24">
        <f t="shared" si="7"/>
        <v>398200</v>
      </c>
      <c r="J13" s="24">
        <f t="shared" si="7"/>
        <v>445000</v>
      </c>
      <c r="K13" s="24">
        <f t="shared" si="7"/>
        <v>442000</v>
      </c>
      <c r="L13" s="24">
        <f t="shared" si="7"/>
        <v>336000</v>
      </c>
      <c r="M13" s="24">
        <f t="shared" si="7"/>
        <v>397800</v>
      </c>
      <c r="N13" s="10">
        <f>N11*N12</f>
        <v>441441.71779141098</v>
      </c>
      <c r="O13" s="10">
        <f t="shared" ref="O13:Q13" si="8">O11*O12</f>
        <v>423080.245398773</v>
      </c>
      <c r="P13" s="10">
        <f t="shared" si="8"/>
        <v>410430.18404907966</v>
      </c>
      <c r="Q13" s="10">
        <f t="shared" si="8"/>
        <v>456349.69325153378</v>
      </c>
      <c r="R13" s="282"/>
      <c r="S13" s="159">
        <f>S11*S12</f>
        <v>437435.48500555498</v>
      </c>
      <c r="T13" s="159">
        <f>T11*T12</f>
        <v>440302.77968371956</v>
      </c>
      <c r="U13" s="159">
        <f>U11*U12</f>
        <v>442488.08715525793</v>
      </c>
      <c r="V13" s="170">
        <f>Mterics!F89</f>
        <v>0.125</v>
      </c>
      <c r="W13" s="121">
        <f t="shared" si="3"/>
        <v>15.647145853400655</v>
      </c>
      <c r="X13" s="167">
        <f t="shared" ref="X13" si="9">NPV($X$22,F13:Q13)+E13</f>
        <v>2490014.7950781113</v>
      </c>
      <c r="Y13" s="83">
        <f t="shared" si="6"/>
        <v>2.0099875654932933</v>
      </c>
    </row>
    <row r="14" spans="1:26" x14ac:dyDescent="0.3">
      <c r="R14" s="21" t="s">
        <v>105</v>
      </c>
      <c r="S14" s="22" t="s">
        <v>32</v>
      </c>
      <c r="T14" s="22" t="s">
        <v>104</v>
      </c>
      <c r="U14" s="22" t="s">
        <v>101</v>
      </c>
      <c r="X14" s="67"/>
      <c r="Y14" s="77"/>
      <c r="Z14" s="68"/>
    </row>
    <row r="15" spans="1:26" ht="18.75" customHeight="1" x14ac:dyDescent="0.3">
      <c r="A15" s="16" t="s">
        <v>38</v>
      </c>
      <c r="R15" s="273" t="s">
        <v>67</v>
      </c>
      <c r="S15" s="48">
        <f xml:space="preserve"> 'Linear Regression Forecasting'!C28</f>
        <v>65071.792738764547</v>
      </c>
      <c r="T15" s="48">
        <f>'Linear Regression Forecasting'!C29</f>
        <v>66480.012533983332</v>
      </c>
      <c r="U15" s="48">
        <f>'Linear Regression Forecasting'!C30</f>
        <v>67888.232329202117</v>
      </c>
      <c r="X15" s="67"/>
      <c r="Y15" s="75"/>
      <c r="Z15" s="68"/>
    </row>
    <row r="16" spans="1:26" ht="18.75" customHeight="1" x14ac:dyDescent="0.3">
      <c r="A16" s="16" t="s">
        <v>39</v>
      </c>
      <c r="R16" s="274"/>
      <c r="S16" s="48">
        <f>'Linear Regression Forecasting'!C46</f>
        <v>30647.880702034221</v>
      </c>
      <c r="T16" s="48">
        <f>'Linear Regression Forecasting'!C47</f>
        <v>31602.219888626714</v>
      </c>
      <c r="U16" s="48">
        <f>'Linear Regression Forecasting'!C48</f>
        <v>32556.559075219207</v>
      </c>
      <c r="X16" s="78"/>
      <c r="Y16" s="69"/>
    </row>
    <row r="17" spans="1:25" ht="18.75" customHeight="1" x14ac:dyDescent="0.3">
      <c r="A17" s="16" t="s">
        <v>42</v>
      </c>
      <c r="P17" s="277" t="s">
        <v>175</v>
      </c>
      <c r="Q17" s="278"/>
      <c r="R17" s="274"/>
      <c r="S17" s="48">
        <f>'Linear Regression Forecasting'!C64</f>
        <v>15497.982630842947</v>
      </c>
      <c r="T17" s="48">
        <f>'Linear Regression Forecasting'!C65</f>
        <v>16410.942814258393</v>
      </c>
      <c r="U17" s="48">
        <f>'Linear Regression Forecasting'!C66</f>
        <v>17323.902997673838</v>
      </c>
      <c r="X17" s="70"/>
      <c r="Y17" s="74"/>
    </row>
    <row r="18" spans="1:25" ht="18.75" customHeight="1" x14ac:dyDescent="0.3">
      <c r="A18" s="16" t="s">
        <v>43</v>
      </c>
      <c r="P18" s="277"/>
      <c r="Q18" s="278"/>
      <c r="R18" s="274"/>
      <c r="S18" s="49">
        <f>'Linear Regression Forecasting'!C82</f>
        <v>22210.710135669098</v>
      </c>
      <c r="T18" s="49">
        <f>'Linear Regression Forecasting'!C83</f>
        <v>22899.268064490636</v>
      </c>
      <c r="U18" s="49">
        <f>'Linear Regression Forecasting'!C84</f>
        <v>23587.825993312174</v>
      </c>
      <c r="X18" s="71"/>
      <c r="Y18" s="75"/>
    </row>
    <row r="19" spans="1:25" ht="18.75" customHeight="1" x14ac:dyDescent="0.3">
      <c r="A19" s="16" t="s">
        <v>45</v>
      </c>
      <c r="P19" s="279"/>
      <c r="Q19" s="280"/>
      <c r="R19" s="274"/>
      <c r="S19" s="50">
        <f>'Linear Regression Forecasting'!C118</f>
        <v>4.4161945644440799</v>
      </c>
      <c r="T19" s="50">
        <f>'Linear Regression Forecasting'!C119</f>
        <v>4.3802888837841074</v>
      </c>
      <c r="U19" s="50">
        <f>'Linear Regression Forecasting'!C120</f>
        <v>4.3443832031241314</v>
      </c>
      <c r="X19" s="71"/>
      <c r="Y19" s="75"/>
    </row>
    <row r="20" spans="1:25" ht="15.5" x14ac:dyDescent="0.35">
      <c r="A20" s="197"/>
      <c r="B20" s="290" t="s">
        <v>136</v>
      </c>
      <c r="C20" s="203"/>
      <c r="D20" s="203"/>
      <c r="E20" s="203"/>
      <c r="F20" s="203"/>
      <c r="G20" s="203"/>
      <c r="H20" s="203"/>
      <c r="I20" s="203"/>
      <c r="J20" s="203"/>
      <c r="K20" s="203"/>
      <c r="L20" s="203"/>
      <c r="M20" s="203"/>
      <c r="N20" s="192"/>
      <c r="O20" s="192"/>
      <c r="P20" s="192"/>
      <c r="Q20" s="193"/>
      <c r="R20" s="281"/>
      <c r="S20" s="51">
        <f>S18*S19</f>
        <v>98086.817373584898</v>
      </c>
      <c r="T20" s="51">
        <f>T18*T19</f>
        <v>100305.40934968075</v>
      </c>
      <c r="U20" s="51">
        <f>U18*U19</f>
        <v>102474.55504356019</v>
      </c>
      <c r="X20" s="71"/>
      <c r="Y20" s="75"/>
    </row>
    <row r="21" spans="1:25" ht="15.5" x14ac:dyDescent="0.35">
      <c r="A21" s="198"/>
      <c r="B21" s="290" t="s">
        <v>108</v>
      </c>
      <c r="C21" s="204"/>
      <c r="D21" s="204"/>
      <c r="E21" s="204"/>
      <c r="F21" s="204"/>
      <c r="G21" s="205"/>
      <c r="H21" s="205"/>
      <c r="I21" s="205"/>
      <c r="J21" s="205"/>
      <c r="K21" s="205"/>
      <c r="L21" s="205"/>
      <c r="M21" s="205"/>
      <c r="N21" s="17"/>
      <c r="O21" s="17"/>
      <c r="P21" s="17"/>
      <c r="Q21" s="194"/>
      <c r="R21" s="281"/>
      <c r="S21" s="52">
        <f>'Linear Regression Forecasting'!C100</f>
        <v>315986.84196159616</v>
      </c>
      <c r="T21" s="52">
        <f>'Linear Regression Forecasting'!C101</f>
        <v>326605.15938645601</v>
      </c>
      <c r="U21" s="52">
        <f>'Linear Regression Forecasting'!C102</f>
        <v>337223.47681131586</v>
      </c>
      <c r="X21" s="72"/>
      <c r="Y21" s="76"/>
    </row>
    <row r="22" spans="1:25" ht="15.5" x14ac:dyDescent="0.3">
      <c r="A22" s="199"/>
      <c r="B22" s="202"/>
      <c r="C22" s="202"/>
      <c r="D22" s="202"/>
      <c r="E22" s="202"/>
      <c r="F22" s="202"/>
      <c r="G22" s="202"/>
      <c r="H22" s="202"/>
      <c r="I22" s="202"/>
      <c r="J22" s="202"/>
      <c r="K22" s="202"/>
      <c r="L22" s="202"/>
      <c r="M22" s="202"/>
      <c r="N22" s="195"/>
      <c r="O22" s="195"/>
      <c r="P22" s="195"/>
      <c r="Q22" s="196"/>
      <c r="R22" s="281"/>
      <c r="S22" s="50">
        <f>'Linear Regression Forecasting'!C136</f>
        <v>1.399801725541451</v>
      </c>
      <c r="T22" s="50">
        <f>'Linear Regression Forecasting'!C137</f>
        <v>1.3636798336682432</v>
      </c>
      <c r="U22" s="50">
        <f>'Linear Regression Forecasting'!C138</f>
        <v>1.3275579417950389</v>
      </c>
      <c r="W22" s="200" t="s">
        <v>72</v>
      </c>
      <c r="X22" s="201">
        <v>0.1</v>
      </c>
      <c r="Y22" s="169"/>
    </row>
    <row r="23" spans="1:25" ht="15.5" x14ac:dyDescent="0.3">
      <c r="A23" s="18" t="s">
        <v>46</v>
      </c>
      <c r="R23" s="282"/>
      <c r="S23" s="159">
        <f>S21*S22</f>
        <v>442318.92662623606</v>
      </c>
      <c r="T23" s="159">
        <f>T21*T22</f>
        <v>445384.8694273124</v>
      </c>
      <c r="U23" s="159">
        <f>U21*U22</f>
        <v>447683.70480059751</v>
      </c>
      <c r="X23" s="73"/>
      <c r="Y23" s="76"/>
    </row>
    <row r="24" spans="1:25" ht="15.5" x14ac:dyDescent="0.3">
      <c r="A24" s="1" t="s">
        <v>37</v>
      </c>
      <c r="R24" s="21" t="s">
        <v>106</v>
      </c>
      <c r="S24" s="22" t="s">
        <v>110</v>
      </c>
      <c r="T24" s="22" t="s">
        <v>111</v>
      </c>
      <c r="U24" s="22" t="s">
        <v>112</v>
      </c>
      <c r="X24" s="73"/>
      <c r="Y24" s="76"/>
    </row>
    <row r="25" spans="1:25" ht="15.5" x14ac:dyDescent="0.3">
      <c r="A25" s="276"/>
      <c r="B25" s="276"/>
      <c r="C25" s="276"/>
      <c r="D25" s="276"/>
      <c r="E25" s="276"/>
      <c r="F25" s="276"/>
      <c r="G25" s="276"/>
      <c r="H25" s="276"/>
      <c r="I25" s="276"/>
      <c r="J25" s="276"/>
      <c r="K25" s="276"/>
      <c r="L25" s="276"/>
      <c r="M25" s="276"/>
      <c r="N25" s="276"/>
      <c r="O25" s="276"/>
      <c r="P25" s="276"/>
      <c r="R25" s="273" t="s">
        <v>114</v>
      </c>
      <c r="S25" s="48" t="s">
        <v>115</v>
      </c>
      <c r="T25" s="48" t="s">
        <v>116</v>
      </c>
      <c r="U25" s="48" t="s">
        <v>117</v>
      </c>
      <c r="X25" s="73"/>
    </row>
    <row r="26" spans="1:25" ht="15.5" x14ac:dyDescent="0.3">
      <c r="A26" s="276"/>
      <c r="B26" s="276"/>
      <c r="C26" s="276"/>
      <c r="D26" s="276"/>
      <c r="E26" s="276"/>
      <c r="F26" s="276"/>
      <c r="G26" s="276"/>
      <c r="H26" s="276"/>
      <c r="I26" s="276"/>
      <c r="J26" s="276"/>
      <c r="K26" s="276"/>
      <c r="L26" s="276"/>
      <c r="M26" s="276"/>
      <c r="N26" s="276"/>
      <c r="O26" s="276"/>
      <c r="P26" s="276"/>
      <c r="R26" s="274"/>
      <c r="S26" s="48" t="s">
        <v>118</v>
      </c>
      <c r="T26" s="48" t="s">
        <v>119</v>
      </c>
      <c r="U26" s="48" t="s">
        <v>120</v>
      </c>
    </row>
    <row r="27" spans="1:25" ht="15.5" x14ac:dyDescent="0.3">
      <c r="A27" s="276"/>
      <c r="B27" s="276"/>
      <c r="C27" s="276"/>
      <c r="D27" s="276"/>
      <c r="E27" s="276"/>
      <c r="F27" s="276"/>
      <c r="G27" s="276"/>
      <c r="H27" s="276"/>
      <c r="I27" s="276"/>
      <c r="J27" s="276"/>
      <c r="K27" s="276"/>
      <c r="L27" s="276"/>
      <c r="M27" s="276"/>
      <c r="N27" s="276"/>
      <c r="O27" s="276"/>
      <c r="P27" s="276"/>
      <c r="R27" s="274"/>
      <c r="S27" s="48" t="s">
        <v>121</v>
      </c>
      <c r="T27" s="48" t="s">
        <v>122</v>
      </c>
      <c r="U27" s="48" t="s">
        <v>123</v>
      </c>
    </row>
    <row r="28" spans="1:25" ht="15.5" x14ac:dyDescent="0.3">
      <c r="A28" s="276"/>
      <c r="B28" s="276"/>
      <c r="C28" s="276"/>
      <c r="D28" s="276"/>
      <c r="E28" s="276"/>
      <c r="F28" s="276"/>
      <c r="G28" s="276"/>
      <c r="H28" s="276"/>
      <c r="I28" s="276"/>
      <c r="J28" s="276"/>
      <c r="K28" s="276"/>
      <c r="L28" s="276"/>
      <c r="M28" s="276"/>
      <c r="N28" s="276"/>
      <c r="O28" s="276"/>
      <c r="P28" s="276"/>
      <c r="R28" s="274"/>
      <c r="S28" s="49" t="s">
        <v>124</v>
      </c>
      <c r="T28" s="49" t="s">
        <v>125</v>
      </c>
      <c r="U28" s="49" t="s">
        <v>126</v>
      </c>
    </row>
    <row r="29" spans="1:25" ht="15.5" x14ac:dyDescent="0.3">
      <c r="A29" s="276"/>
      <c r="B29" s="276"/>
      <c r="C29" s="276"/>
      <c r="D29" s="276"/>
      <c r="E29" s="276"/>
      <c r="F29" s="276"/>
      <c r="G29" s="276"/>
      <c r="H29" s="276"/>
      <c r="I29" s="276"/>
      <c r="J29" s="276"/>
      <c r="K29" s="276"/>
      <c r="L29" s="276"/>
      <c r="M29" s="276"/>
      <c r="N29" s="276"/>
      <c r="O29" s="276"/>
      <c r="P29" s="276"/>
      <c r="R29" s="274"/>
      <c r="S29" s="50">
        <v>4.4800000000000004</v>
      </c>
      <c r="T29" s="50">
        <v>4.46</v>
      </c>
      <c r="U29" s="50">
        <v>4.45</v>
      </c>
    </row>
    <row r="30" spans="1:25" ht="15.5" x14ac:dyDescent="0.3">
      <c r="A30" s="276"/>
      <c r="B30" s="276"/>
      <c r="C30" s="276"/>
      <c r="D30" s="276"/>
      <c r="E30" s="276"/>
      <c r="F30" s="276"/>
      <c r="G30" s="276"/>
      <c r="H30" s="276"/>
      <c r="I30" s="276"/>
      <c r="J30" s="276"/>
      <c r="K30" s="276"/>
      <c r="L30" s="276"/>
      <c r="M30" s="276"/>
      <c r="N30" s="276"/>
      <c r="O30" s="276"/>
      <c r="P30" s="276"/>
      <c r="R30" s="274"/>
      <c r="S30" s="51" t="s">
        <v>127</v>
      </c>
      <c r="T30" s="51" t="s">
        <v>128</v>
      </c>
      <c r="U30" s="51" t="s">
        <v>129</v>
      </c>
    </row>
    <row r="31" spans="1:25" ht="15.5" x14ac:dyDescent="0.3">
      <c r="A31" s="276"/>
      <c r="B31" s="276"/>
      <c r="C31" s="276"/>
      <c r="D31" s="276"/>
      <c r="E31" s="276"/>
      <c r="F31" s="276"/>
      <c r="G31" s="276"/>
      <c r="H31" s="276"/>
      <c r="I31" s="276"/>
      <c r="J31" s="276"/>
      <c r="K31" s="276"/>
      <c r="L31" s="276"/>
      <c r="M31" s="276"/>
      <c r="N31" s="276"/>
      <c r="O31" s="276"/>
      <c r="P31" s="276"/>
      <c r="R31" s="274"/>
      <c r="S31" s="52" t="s">
        <v>130</v>
      </c>
      <c r="T31" s="52" t="s">
        <v>131</v>
      </c>
      <c r="U31" s="52" t="s">
        <v>132</v>
      </c>
    </row>
    <row r="32" spans="1:25" ht="15.5" x14ac:dyDescent="0.3">
      <c r="A32" s="276"/>
      <c r="B32" s="276"/>
      <c r="C32" s="276"/>
      <c r="D32" s="276"/>
      <c r="E32" s="276"/>
      <c r="F32" s="276"/>
      <c r="G32" s="276"/>
      <c r="H32" s="276"/>
      <c r="I32" s="276"/>
      <c r="J32" s="276"/>
      <c r="K32" s="276"/>
      <c r="L32" s="276"/>
      <c r="M32" s="276"/>
      <c r="N32" s="276"/>
      <c r="O32" s="276"/>
      <c r="P32" s="276"/>
      <c r="R32" s="274"/>
      <c r="S32" s="50">
        <v>1.42</v>
      </c>
      <c r="T32" s="50">
        <v>1.4</v>
      </c>
      <c r="U32" s="50">
        <v>1.37</v>
      </c>
    </row>
    <row r="33" spans="1:21" ht="15.5" x14ac:dyDescent="0.3">
      <c r="A33" s="276"/>
      <c r="B33" s="276"/>
      <c r="C33" s="276"/>
      <c r="D33" s="276"/>
      <c r="E33" s="276"/>
      <c r="F33" s="276"/>
      <c r="G33" s="276"/>
      <c r="H33" s="276"/>
      <c r="I33" s="276"/>
      <c r="J33" s="276"/>
      <c r="K33" s="276"/>
      <c r="L33" s="276"/>
      <c r="M33" s="276"/>
      <c r="N33" s="276"/>
      <c r="O33" s="276"/>
      <c r="P33" s="276"/>
      <c r="R33" s="275"/>
      <c r="S33" s="159" t="s">
        <v>133</v>
      </c>
      <c r="T33" s="159" t="s">
        <v>134</v>
      </c>
      <c r="U33" s="159" t="s">
        <v>135</v>
      </c>
    </row>
    <row r="34" spans="1:21" x14ac:dyDescent="0.3">
      <c r="A34" s="276"/>
      <c r="B34" s="276"/>
      <c r="C34" s="276"/>
      <c r="D34" s="276"/>
      <c r="E34" s="276"/>
      <c r="F34" s="276"/>
      <c r="G34" s="276"/>
      <c r="H34" s="276"/>
      <c r="I34" s="276"/>
      <c r="J34" s="276"/>
      <c r="K34" s="276"/>
      <c r="L34" s="276"/>
      <c r="M34" s="276"/>
      <c r="N34" s="276"/>
      <c r="O34" s="276"/>
      <c r="P34" s="276"/>
      <c r="R34" s="21" t="s">
        <v>109</v>
      </c>
      <c r="S34" s="22" t="s">
        <v>110</v>
      </c>
      <c r="T34" s="22" t="s">
        <v>111</v>
      </c>
      <c r="U34" s="22" t="s">
        <v>112</v>
      </c>
    </row>
    <row r="35" spans="1:21" ht="15.5" x14ac:dyDescent="0.3">
      <c r="A35" s="276"/>
      <c r="B35" s="276"/>
      <c r="C35" s="276"/>
      <c r="D35" s="276"/>
      <c r="E35" s="276"/>
      <c r="F35" s="276"/>
      <c r="G35" s="276"/>
      <c r="H35" s="276"/>
      <c r="I35" s="276"/>
      <c r="J35" s="276"/>
      <c r="K35" s="276"/>
      <c r="L35" s="276"/>
      <c r="M35" s="276"/>
      <c r="N35" s="276"/>
      <c r="O35" s="276"/>
      <c r="P35" s="276"/>
      <c r="R35" s="273" t="s">
        <v>113</v>
      </c>
      <c r="S35" s="48">
        <v>58160</v>
      </c>
      <c r="T35" s="48">
        <v>58460</v>
      </c>
      <c r="U35" s="48">
        <v>52650</v>
      </c>
    </row>
    <row r="36" spans="1:21" ht="15.5" x14ac:dyDescent="0.3">
      <c r="A36" s="276"/>
      <c r="B36" s="276"/>
      <c r="C36" s="276"/>
      <c r="D36" s="276"/>
      <c r="E36" s="276"/>
      <c r="F36" s="276"/>
      <c r="G36" s="276"/>
      <c r="H36" s="276"/>
      <c r="I36" s="276"/>
      <c r="J36" s="276"/>
      <c r="K36" s="276"/>
      <c r="L36" s="276"/>
      <c r="M36" s="276"/>
      <c r="N36" s="276"/>
      <c r="O36" s="276"/>
      <c r="P36" s="276"/>
      <c r="R36" s="274"/>
      <c r="S36" s="48">
        <v>26206</v>
      </c>
      <c r="T36" s="48">
        <v>26472</v>
      </c>
      <c r="U36" s="48">
        <v>24557</v>
      </c>
    </row>
    <row r="37" spans="1:21" ht="15.5" x14ac:dyDescent="0.3">
      <c r="A37" s="276"/>
      <c r="B37" s="276"/>
      <c r="C37" s="276"/>
      <c r="D37" s="276"/>
      <c r="E37" s="276"/>
      <c r="F37" s="276"/>
      <c r="G37" s="276"/>
      <c r="H37" s="276"/>
      <c r="I37" s="276"/>
      <c r="J37" s="276"/>
      <c r="K37" s="276"/>
      <c r="L37" s="276"/>
      <c r="M37" s="276"/>
      <c r="N37" s="276"/>
      <c r="O37" s="276"/>
      <c r="P37" s="276"/>
      <c r="R37" s="274"/>
      <c r="S37" s="48">
        <v>11453</v>
      </c>
      <c r="T37" s="48">
        <v>11324</v>
      </c>
      <c r="U37" s="48">
        <v>11135</v>
      </c>
    </row>
    <row r="38" spans="1:21" ht="15.5" x14ac:dyDescent="0.3">
      <c r="A38" s="276"/>
      <c r="B38" s="276"/>
      <c r="C38" s="276"/>
      <c r="D38" s="276"/>
      <c r="E38" s="276"/>
      <c r="F38" s="276"/>
      <c r="G38" s="276"/>
      <c r="H38" s="276"/>
      <c r="I38" s="276"/>
      <c r="J38" s="276"/>
      <c r="K38" s="276"/>
      <c r="L38" s="276"/>
      <c r="M38" s="276"/>
      <c r="N38" s="276"/>
      <c r="O38" s="276"/>
      <c r="P38" s="276"/>
      <c r="R38" s="274"/>
      <c r="S38" s="49">
        <v>19304</v>
      </c>
      <c r="T38" s="49">
        <v>19333</v>
      </c>
      <c r="U38" s="49">
        <v>19057</v>
      </c>
    </row>
    <row r="39" spans="1:21" ht="15.5" x14ac:dyDescent="0.3">
      <c r="A39" s="276"/>
      <c r="B39" s="276"/>
      <c r="C39" s="276"/>
      <c r="D39" s="276"/>
      <c r="E39" s="276"/>
      <c r="F39" s="276"/>
      <c r="G39" s="276"/>
      <c r="H39" s="276"/>
      <c r="I39" s="276"/>
      <c r="J39" s="276"/>
      <c r="K39" s="276"/>
      <c r="L39" s="276"/>
      <c r="M39" s="276"/>
      <c r="N39" s="276"/>
      <c r="O39" s="276"/>
      <c r="P39" s="276"/>
      <c r="R39" s="274"/>
      <c r="S39" s="50">
        <v>4.5519999999999996</v>
      </c>
      <c r="T39" s="50">
        <v>4.5606</v>
      </c>
      <c r="U39" s="50">
        <v>4.5303000000000004</v>
      </c>
    </row>
    <row r="40" spans="1:21" ht="15.5" x14ac:dyDescent="0.3">
      <c r="A40" s="276"/>
      <c r="B40" s="276"/>
      <c r="C40" s="276"/>
      <c r="D40" s="276"/>
      <c r="E40" s="276"/>
      <c r="F40" s="276"/>
      <c r="G40" s="276"/>
      <c r="H40" s="276"/>
      <c r="I40" s="276"/>
      <c r="J40" s="276"/>
      <c r="K40" s="276"/>
      <c r="L40" s="276"/>
      <c r="M40" s="276"/>
      <c r="N40" s="276"/>
      <c r="O40" s="276"/>
      <c r="P40" s="276"/>
      <c r="R40" s="274"/>
      <c r="S40" s="51">
        <f>S38*S39</f>
        <v>87871.80799999999</v>
      </c>
      <c r="T40" s="51">
        <f>T38*T39</f>
        <v>88170.079800000007</v>
      </c>
      <c r="U40" s="51">
        <f>U38*U39</f>
        <v>86333.927100000015</v>
      </c>
    </row>
    <row r="41" spans="1:21" ht="15.5" x14ac:dyDescent="0.3">
      <c r="A41" s="276"/>
      <c r="B41" s="276"/>
      <c r="C41" s="276"/>
      <c r="D41" s="276"/>
      <c r="E41" s="276"/>
      <c r="F41" s="276"/>
      <c r="G41" s="276"/>
      <c r="H41" s="276"/>
      <c r="I41" s="276"/>
      <c r="J41" s="276"/>
      <c r="K41" s="276"/>
      <c r="L41" s="276"/>
      <c r="M41" s="276"/>
      <c r="N41" s="276"/>
      <c r="O41" s="276"/>
      <c r="P41" s="276"/>
      <c r="R41" s="274"/>
      <c r="S41" s="52">
        <v>290817</v>
      </c>
      <c r="T41" s="52">
        <v>285360</v>
      </c>
      <c r="U41" s="52">
        <v>288044</v>
      </c>
    </row>
    <row r="42" spans="1:21" ht="15.5" x14ac:dyDescent="0.3">
      <c r="A42" s="276"/>
      <c r="B42" s="276"/>
      <c r="C42" s="276"/>
      <c r="D42" s="276"/>
      <c r="E42" s="276"/>
      <c r="F42" s="276"/>
      <c r="G42" s="276"/>
      <c r="H42" s="276"/>
      <c r="I42" s="276"/>
      <c r="J42" s="276"/>
      <c r="K42" s="276"/>
      <c r="L42" s="276"/>
      <c r="M42" s="276"/>
      <c r="N42" s="276"/>
      <c r="O42" s="276"/>
      <c r="P42" s="276"/>
      <c r="R42" s="274"/>
      <c r="S42" s="50">
        <v>1.5639000000000001</v>
      </c>
      <c r="T42" s="50">
        <v>1.5650999999999999</v>
      </c>
      <c r="U42" s="50">
        <v>1.5143</v>
      </c>
    </row>
    <row r="43" spans="1:21" ht="15.5" x14ac:dyDescent="0.3">
      <c r="A43" s="276"/>
      <c r="B43" s="276"/>
      <c r="C43" s="276"/>
      <c r="D43" s="276"/>
      <c r="E43" s="276"/>
      <c r="F43" s="276"/>
      <c r="G43" s="276"/>
      <c r="H43" s="276"/>
      <c r="I43" s="276"/>
      <c r="J43" s="276"/>
      <c r="K43" s="276"/>
      <c r="L43" s="276"/>
      <c r="M43" s="276"/>
      <c r="N43" s="276"/>
      <c r="O43" s="276"/>
      <c r="P43" s="276"/>
      <c r="R43" s="275"/>
      <c r="S43" s="159">
        <f>S41*S42</f>
        <v>454808.70630000002</v>
      </c>
      <c r="T43" s="159">
        <f>T41*T42</f>
        <v>446616.93599999999</v>
      </c>
      <c r="U43" s="159">
        <f>U41*U42</f>
        <v>436185.02919999999</v>
      </c>
    </row>
    <row r="44" spans="1:21" x14ac:dyDescent="0.3">
      <c r="A44" s="276"/>
      <c r="B44" s="276"/>
      <c r="C44" s="276"/>
      <c r="D44" s="276"/>
      <c r="E44" s="276"/>
      <c r="F44" s="276"/>
      <c r="G44" s="276"/>
      <c r="H44" s="276"/>
      <c r="I44" s="276"/>
      <c r="J44" s="276"/>
      <c r="K44" s="276"/>
      <c r="L44" s="276"/>
      <c r="M44" s="276"/>
      <c r="N44" s="276"/>
      <c r="O44" s="276"/>
      <c r="P44" s="276"/>
    </row>
    <row r="45" spans="1:21" x14ac:dyDescent="0.3">
      <c r="A45" s="276"/>
      <c r="B45" s="276"/>
      <c r="C45" s="276"/>
      <c r="D45" s="276"/>
      <c r="E45" s="276"/>
      <c r="F45" s="276"/>
      <c r="G45" s="276"/>
      <c r="H45" s="276"/>
      <c r="I45" s="276"/>
      <c r="J45" s="276"/>
      <c r="K45" s="276"/>
      <c r="L45" s="276"/>
      <c r="M45" s="276"/>
      <c r="N45" s="276"/>
      <c r="O45" s="276"/>
      <c r="P45" s="276"/>
    </row>
    <row r="46" spans="1:21" x14ac:dyDescent="0.3">
      <c r="A46" s="276"/>
      <c r="B46" s="276"/>
      <c r="C46" s="276"/>
      <c r="D46" s="276"/>
      <c r="E46" s="276"/>
      <c r="F46" s="276"/>
      <c r="G46" s="276"/>
      <c r="H46" s="276"/>
      <c r="I46" s="276"/>
      <c r="J46" s="276"/>
      <c r="K46" s="276"/>
      <c r="L46" s="276"/>
      <c r="M46" s="276"/>
      <c r="N46" s="276"/>
      <c r="O46" s="276"/>
      <c r="P46" s="276"/>
    </row>
    <row r="47" spans="1:21" x14ac:dyDescent="0.3">
      <c r="A47" s="276"/>
      <c r="B47" s="276"/>
      <c r="C47" s="276"/>
      <c r="D47" s="276"/>
      <c r="E47" s="276"/>
      <c r="F47" s="276"/>
      <c r="G47" s="276"/>
      <c r="H47" s="276"/>
      <c r="I47" s="276"/>
      <c r="J47" s="276"/>
      <c r="K47" s="276"/>
      <c r="L47" s="276"/>
      <c r="M47" s="276"/>
      <c r="N47" s="276"/>
      <c r="O47" s="276"/>
      <c r="P47" s="276"/>
    </row>
    <row r="48" spans="1:21" x14ac:dyDescent="0.3">
      <c r="A48" s="276"/>
      <c r="B48" s="276"/>
      <c r="C48" s="276"/>
      <c r="D48" s="276"/>
      <c r="E48" s="276"/>
      <c r="F48" s="276"/>
      <c r="G48" s="276"/>
      <c r="H48" s="276"/>
      <c r="I48" s="276"/>
      <c r="J48" s="276"/>
      <c r="K48" s="276"/>
      <c r="L48" s="276"/>
      <c r="M48" s="276"/>
      <c r="N48" s="276"/>
      <c r="O48" s="276"/>
      <c r="P48" s="276"/>
    </row>
    <row r="49" spans="1:16" x14ac:dyDescent="0.3">
      <c r="A49" s="276"/>
      <c r="B49" s="276"/>
      <c r="C49" s="276"/>
      <c r="D49" s="276"/>
      <c r="E49" s="276"/>
      <c r="F49" s="276"/>
      <c r="G49" s="276"/>
      <c r="H49" s="276"/>
      <c r="I49" s="276"/>
      <c r="J49" s="276"/>
      <c r="K49" s="276"/>
      <c r="L49" s="276"/>
      <c r="M49" s="276"/>
      <c r="N49" s="276"/>
      <c r="O49" s="276"/>
      <c r="P49" s="276"/>
    </row>
    <row r="50" spans="1:16" x14ac:dyDescent="0.3">
      <c r="A50" s="276"/>
      <c r="B50" s="276"/>
      <c r="C50" s="276"/>
      <c r="D50" s="276"/>
      <c r="E50" s="276"/>
      <c r="F50" s="276"/>
      <c r="G50" s="276"/>
      <c r="H50" s="276"/>
      <c r="I50" s="276"/>
      <c r="J50" s="276"/>
      <c r="K50" s="276"/>
      <c r="L50" s="276"/>
      <c r="M50" s="276"/>
      <c r="N50" s="276"/>
      <c r="O50" s="276"/>
      <c r="P50" s="276"/>
    </row>
    <row r="51" spans="1:16" x14ac:dyDescent="0.3">
      <c r="A51" s="276"/>
      <c r="B51" s="276"/>
      <c r="C51" s="276"/>
      <c r="D51" s="276"/>
      <c r="E51" s="276"/>
      <c r="F51" s="276"/>
      <c r="G51" s="276"/>
      <c r="H51" s="276"/>
      <c r="I51" s="276"/>
      <c r="J51" s="276"/>
      <c r="K51" s="276"/>
      <c r="L51" s="276"/>
      <c r="M51" s="276"/>
      <c r="N51" s="276"/>
      <c r="O51" s="276"/>
      <c r="P51" s="276"/>
    </row>
    <row r="52" spans="1:16" x14ac:dyDescent="0.3">
      <c r="A52" s="276"/>
      <c r="B52" s="276"/>
      <c r="C52" s="276"/>
      <c r="D52" s="276"/>
      <c r="E52" s="276"/>
      <c r="F52" s="276"/>
      <c r="G52" s="276"/>
      <c r="H52" s="276"/>
      <c r="I52" s="276"/>
      <c r="J52" s="276"/>
      <c r="K52" s="276"/>
      <c r="L52" s="276"/>
      <c r="M52" s="276"/>
      <c r="N52" s="276"/>
      <c r="O52" s="276"/>
      <c r="P52" s="276"/>
    </row>
    <row r="53" spans="1:16" x14ac:dyDescent="0.3">
      <c r="A53" s="276"/>
      <c r="B53" s="276"/>
      <c r="C53" s="276"/>
      <c r="D53" s="276"/>
      <c r="E53" s="276"/>
      <c r="F53" s="276"/>
      <c r="G53" s="276"/>
      <c r="H53" s="276"/>
      <c r="I53" s="276"/>
      <c r="J53" s="276"/>
      <c r="K53" s="276"/>
      <c r="L53" s="276"/>
      <c r="M53" s="276"/>
      <c r="N53" s="276"/>
      <c r="O53" s="276"/>
      <c r="P53" s="276"/>
    </row>
    <row r="54" spans="1:16" x14ac:dyDescent="0.3">
      <c r="A54" s="276"/>
      <c r="B54" s="276"/>
      <c r="C54" s="276"/>
      <c r="D54" s="276"/>
      <c r="E54" s="276"/>
      <c r="F54" s="276"/>
      <c r="G54" s="276"/>
      <c r="H54" s="276"/>
      <c r="I54" s="276"/>
      <c r="J54" s="276"/>
      <c r="K54" s="276"/>
      <c r="L54" s="276"/>
      <c r="M54" s="276"/>
      <c r="N54" s="276"/>
      <c r="O54" s="276"/>
      <c r="P54" s="276"/>
    </row>
    <row r="55" spans="1:16" x14ac:dyDescent="0.3">
      <c r="A55" s="276"/>
      <c r="B55" s="276"/>
      <c r="C55" s="276"/>
      <c r="D55" s="276"/>
      <c r="E55" s="276"/>
      <c r="F55" s="276"/>
      <c r="G55" s="276"/>
      <c r="H55" s="276"/>
      <c r="I55" s="276"/>
      <c r="J55" s="276"/>
      <c r="K55" s="276"/>
      <c r="L55" s="276"/>
      <c r="M55" s="276"/>
      <c r="N55" s="276"/>
      <c r="O55" s="276"/>
      <c r="P55" s="276"/>
    </row>
    <row r="56" spans="1:16" x14ac:dyDescent="0.3">
      <c r="A56" s="276"/>
      <c r="B56" s="276"/>
      <c r="C56" s="276"/>
      <c r="D56" s="276"/>
      <c r="E56" s="276"/>
      <c r="F56" s="276"/>
      <c r="G56" s="276"/>
      <c r="H56" s="276"/>
      <c r="I56" s="276"/>
      <c r="J56" s="276"/>
      <c r="K56" s="276"/>
      <c r="L56" s="276"/>
      <c r="M56" s="276"/>
      <c r="N56" s="276"/>
      <c r="O56" s="276"/>
      <c r="P56" s="276"/>
    </row>
    <row r="57" spans="1:16" x14ac:dyDescent="0.3">
      <c r="A57" s="276"/>
      <c r="B57" s="276"/>
      <c r="C57" s="276"/>
      <c r="D57" s="276"/>
      <c r="E57" s="276"/>
      <c r="F57" s="276"/>
      <c r="G57" s="276"/>
      <c r="H57" s="276"/>
      <c r="I57" s="276"/>
      <c r="J57" s="276"/>
      <c r="K57" s="276"/>
      <c r="L57" s="276"/>
      <c r="M57" s="276"/>
      <c r="N57" s="276"/>
      <c r="O57" s="276"/>
      <c r="P57" s="276"/>
    </row>
    <row r="58" spans="1:16" x14ac:dyDescent="0.3">
      <c r="A58" s="276"/>
      <c r="B58" s="276"/>
      <c r="C58" s="276"/>
      <c r="D58" s="276"/>
      <c r="E58" s="276"/>
      <c r="F58" s="276"/>
      <c r="G58" s="276"/>
      <c r="H58" s="276"/>
      <c r="I58" s="276"/>
      <c r="J58" s="276"/>
      <c r="K58" s="276"/>
      <c r="L58" s="276"/>
      <c r="M58" s="276"/>
      <c r="N58" s="276"/>
      <c r="O58" s="276"/>
      <c r="P58" s="276"/>
    </row>
    <row r="59" spans="1:16" x14ac:dyDescent="0.3">
      <c r="A59" s="276"/>
      <c r="B59" s="276"/>
      <c r="C59" s="276"/>
      <c r="D59" s="276"/>
      <c r="E59" s="276"/>
      <c r="F59" s="276"/>
      <c r="G59" s="276"/>
      <c r="H59" s="276"/>
      <c r="I59" s="276"/>
      <c r="J59" s="276"/>
      <c r="K59" s="276"/>
      <c r="L59" s="276"/>
      <c r="M59" s="276"/>
      <c r="N59" s="276"/>
      <c r="O59" s="276"/>
      <c r="P59" s="276"/>
    </row>
    <row r="60" spans="1:16" x14ac:dyDescent="0.3">
      <c r="A60" s="276"/>
      <c r="B60" s="276"/>
      <c r="C60" s="276"/>
      <c r="D60" s="276"/>
      <c r="E60" s="276"/>
      <c r="F60" s="276"/>
      <c r="G60" s="276"/>
      <c r="H60" s="276"/>
      <c r="I60" s="276"/>
      <c r="J60" s="276"/>
      <c r="K60" s="276"/>
      <c r="L60" s="276"/>
      <c r="M60" s="276"/>
      <c r="N60" s="276"/>
      <c r="O60" s="276"/>
      <c r="P60" s="276"/>
    </row>
    <row r="61" spans="1:16" x14ac:dyDescent="0.3">
      <c r="A61" s="276"/>
      <c r="B61" s="276"/>
      <c r="C61" s="276"/>
      <c r="D61" s="276"/>
      <c r="E61" s="276"/>
      <c r="F61" s="276"/>
      <c r="G61" s="276"/>
      <c r="H61" s="276"/>
      <c r="I61" s="276"/>
      <c r="J61" s="276"/>
      <c r="K61" s="276"/>
      <c r="L61" s="276"/>
      <c r="M61" s="276"/>
      <c r="N61" s="276"/>
      <c r="O61" s="276"/>
      <c r="P61" s="276"/>
    </row>
    <row r="62" spans="1:16" x14ac:dyDescent="0.3">
      <c r="A62" s="276"/>
      <c r="B62" s="276"/>
      <c r="C62" s="276"/>
      <c r="D62" s="276"/>
      <c r="E62" s="276"/>
      <c r="F62" s="276"/>
      <c r="G62" s="276"/>
      <c r="H62" s="276"/>
      <c r="I62" s="276"/>
      <c r="J62" s="276"/>
      <c r="K62" s="276"/>
      <c r="L62" s="276"/>
      <c r="M62" s="276"/>
      <c r="N62" s="276"/>
      <c r="O62" s="276"/>
      <c r="P62" s="276"/>
    </row>
    <row r="63" spans="1:16" x14ac:dyDescent="0.3">
      <c r="A63" s="276"/>
      <c r="B63" s="276"/>
      <c r="C63" s="276"/>
      <c r="D63" s="276"/>
      <c r="E63" s="276"/>
      <c r="F63" s="276"/>
      <c r="G63" s="276"/>
      <c r="H63" s="276"/>
      <c r="I63" s="276"/>
      <c r="J63" s="276"/>
      <c r="K63" s="276"/>
      <c r="L63" s="276"/>
      <c r="M63" s="276"/>
      <c r="N63" s="276"/>
      <c r="O63" s="276"/>
      <c r="P63" s="276"/>
    </row>
    <row r="64" spans="1:16" x14ac:dyDescent="0.3">
      <c r="A64" s="276"/>
      <c r="B64" s="276"/>
      <c r="C64" s="276"/>
      <c r="D64" s="276"/>
      <c r="E64" s="276"/>
      <c r="F64" s="276"/>
      <c r="G64" s="276"/>
      <c r="H64" s="276"/>
      <c r="I64" s="276"/>
      <c r="J64" s="276"/>
      <c r="K64" s="276"/>
      <c r="L64" s="276"/>
      <c r="M64" s="276"/>
      <c r="N64" s="276"/>
      <c r="O64" s="276"/>
      <c r="P64" s="276"/>
    </row>
    <row r="65" spans="1:16" x14ac:dyDescent="0.3">
      <c r="A65" s="276"/>
      <c r="B65" s="276"/>
      <c r="C65" s="276"/>
      <c r="D65" s="276"/>
      <c r="E65" s="276"/>
      <c r="F65" s="276"/>
      <c r="G65" s="276"/>
      <c r="H65" s="276"/>
      <c r="I65" s="276"/>
      <c r="J65" s="276"/>
      <c r="K65" s="276"/>
      <c r="L65" s="276"/>
      <c r="M65" s="276"/>
      <c r="N65" s="276"/>
      <c r="O65" s="276"/>
      <c r="P65" s="276"/>
    </row>
    <row r="66" spans="1:16" x14ac:dyDescent="0.3">
      <c r="A66" s="276"/>
      <c r="B66" s="276"/>
      <c r="C66" s="276"/>
      <c r="D66" s="276"/>
      <c r="E66" s="276"/>
      <c r="F66" s="276"/>
      <c r="G66" s="276"/>
      <c r="H66" s="276"/>
      <c r="I66" s="276"/>
      <c r="J66" s="276"/>
      <c r="K66" s="276"/>
      <c r="L66" s="276"/>
      <c r="M66" s="276"/>
      <c r="N66" s="276"/>
      <c r="O66" s="276"/>
      <c r="P66" s="276"/>
    </row>
    <row r="67" spans="1:16" x14ac:dyDescent="0.3">
      <c r="A67" s="276"/>
      <c r="B67" s="276"/>
      <c r="C67" s="276"/>
      <c r="D67" s="276"/>
      <c r="E67" s="276"/>
      <c r="F67" s="276"/>
      <c r="G67" s="276"/>
      <c r="H67" s="276"/>
      <c r="I67" s="276"/>
      <c r="J67" s="276"/>
      <c r="K67" s="276"/>
      <c r="L67" s="276"/>
      <c r="M67" s="276"/>
      <c r="N67" s="276"/>
      <c r="O67" s="276"/>
      <c r="P67" s="276"/>
    </row>
    <row r="68" spans="1:16" x14ac:dyDescent="0.3">
      <c r="A68" s="276"/>
      <c r="B68" s="276"/>
      <c r="C68" s="276"/>
      <c r="D68" s="276"/>
      <c r="E68" s="276"/>
      <c r="F68" s="276"/>
      <c r="G68" s="276"/>
      <c r="H68" s="276"/>
      <c r="I68" s="276"/>
      <c r="J68" s="276"/>
      <c r="K68" s="276"/>
      <c r="L68" s="276"/>
      <c r="M68" s="276"/>
      <c r="N68" s="276"/>
      <c r="O68" s="276"/>
      <c r="P68" s="276"/>
    </row>
    <row r="69" spans="1:16" x14ac:dyDescent="0.3">
      <c r="A69" s="276"/>
      <c r="B69" s="276"/>
      <c r="C69" s="276"/>
      <c r="D69" s="276"/>
      <c r="E69" s="276"/>
      <c r="F69" s="276"/>
      <c r="G69" s="276"/>
      <c r="H69" s="276"/>
      <c r="I69" s="276"/>
      <c r="J69" s="276"/>
      <c r="K69" s="276"/>
      <c r="L69" s="276"/>
      <c r="M69" s="276"/>
      <c r="N69" s="276"/>
      <c r="O69" s="276"/>
      <c r="P69" s="276"/>
    </row>
    <row r="70" spans="1:16" x14ac:dyDescent="0.3">
      <c r="A70" s="276"/>
      <c r="B70" s="276"/>
      <c r="C70" s="276"/>
      <c r="D70" s="276"/>
      <c r="E70" s="276"/>
      <c r="F70" s="276"/>
      <c r="G70" s="276"/>
      <c r="H70" s="276"/>
      <c r="I70" s="276"/>
      <c r="J70" s="276"/>
      <c r="K70" s="276"/>
      <c r="L70" s="276"/>
      <c r="M70" s="276"/>
      <c r="N70" s="276"/>
      <c r="O70" s="276"/>
      <c r="P70" s="276"/>
    </row>
    <row r="71" spans="1:16" x14ac:dyDescent="0.3">
      <c r="A71" s="276"/>
      <c r="B71" s="276"/>
      <c r="C71" s="276"/>
      <c r="D71" s="276"/>
      <c r="E71" s="276"/>
      <c r="F71" s="276"/>
      <c r="G71" s="276"/>
      <c r="H71" s="276"/>
      <c r="I71" s="276"/>
      <c r="J71" s="276"/>
      <c r="K71" s="276"/>
      <c r="L71" s="276"/>
      <c r="M71" s="276"/>
      <c r="N71" s="276"/>
      <c r="O71" s="276"/>
      <c r="P71" s="276"/>
    </row>
    <row r="72" spans="1:16" x14ac:dyDescent="0.3">
      <c r="A72" s="276"/>
      <c r="B72" s="276"/>
      <c r="C72" s="276"/>
      <c r="D72" s="276"/>
      <c r="E72" s="276"/>
      <c r="F72" s="276"/>
      <c r="G72" s="276"/>
      <c r="H72" s="276"/>
      <c r="I72" s="276"/>
      <c r="J72" s="276"/>
      <c r="K72" s="276"/>
      <c r="L72" s="276"/>
      <c r="M72" s="276"/>
      <c r="N72" s="276"/>
      <c r="O72" s="276"/>
      <c r="P72" s="276"/>
    </row>
    <row r="73" spans="1:16" x14ac:dyDescent="0.3">
      <c r="A73" s="276"/>
      <c r="B73" s="276"/>
      <c r="C73" s="276"/>
      <c r="D73" s="276"/>
      <c r="E73" s="276"/>
      <c r="F73" s="276"/>
      <c r="G73" s="276"/>
      <c r="H73" s="276"/>
      <c r="I73" s="276"/>
      <c r="J73" s="276"/>
      <c r="K73" s="276"/>
      <c r="L73" s="276"/>
      <c r="M73" s="276"/>
      <c r="N73" s="276"/>
      <c r="O73" s="276"/>
      <c r="P73" s="276"/>
    </row>
  </sheetData>
  <mergeCells count="7">
    <mergeCell ref="V3:Y3"/>
    <mergeCell ref="R35:R43"/>
    <mergeCell ref="A25:P73"/>
    <mergeCell ref="P17:Q19"/>
    <mergeCell ref="R25:R33"/>
    <mergeCell ref="R15:R23"/>
    <mergeCell ref="R5:R13"/>
  </mergeCells>
  <phoneticPr fontId="1" type="noConversion"/>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F7C9EE02-42E1-4005-9D12-6889AFFD525C}">
      <x15:webExtensions xmlns:xm="http://schemas.microsoft.com/office/excel/2006/main">
        <x15:webExtension appRef="{DB234C7C-F383-4CC4-AAF4-071438233029}">
          <xm:f>#REF!</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43D3F-59B5-4CD9-B772-023C83975330}">
  <dimension ref="A3:D6"/>
  <sheetViews>
    <sheetView topLeftCell="A3" zoomScale="130" zoomScaleNormal="130" workbookViewId="0">
      <selection activeCell="D4" sqref="D4"/>
    </sheetView>
  </sheetViews>
  <sheetFormatPr defaultRowHeight="14" x14ac:dyDescent="0.3"/>
  <cols>
    <col min="1" max="1" width="13.25" bestFit="1" customWidth="1"/>
    <col min="2" max="2" width="10.75" bestFit="1" customWidth="1"/>
    <col min="3" max="3" width="11.33203125" bestFit="1" customWidth="1"/>
    <col min="4" max="4" width="24.08203125" bestFit="1" customWidth="1"/>
  </cols>
  <sheetData>
    <row r="3" spans="1:4" x14ac:dyDescent="0.3">
      <c r="A3" s="230" t="s">
        <v>163</v>
      </c>
      <c r="B3" t="s">
        <v>172</v>
      </c>
      <c r="C3" t="s">
        <v>173</v>
      </c>
      <c r="D3" t="s">
        <v>174</v>
      </c>
    </row>
    <row r="4" spans="1:4" x14ac:dyDescent="0.3">
      <c r="A4" s="231" t="s">
        <v>158</v>
      </c>
      <c r="B4" s="289">
        <v>0.2</v>
      </c>
      <c r="C4" s="289">
        <v>59949</v>
      </c>
      <c r="D4" s="289">
        <v>1.6</v>
      </c>
    </row>
    <row r="5" spans="1:4" x14ac:dyDescent="0.3">
      <c r="A5" s="232" t="s">
        <v>138</v>
      </c>
      <c r="B5" s="289">
        <v>0.2</v>
      </c>
      <c r="C5" s="289">
        <v>59949</v>
      </c>
      <c r="D5" s="289">
        <v>1.6</v>
      </c>
    </row>
    <row r="6" spans="1:4" x14ac:dyDescent="0.3">
      <c r="A6" s="231" t="s">
        <v>164</v>
      </c>
      <c r="B6" s="289">
        <v>0.2</v>
      </c>
      <c r="C6" s="289">
        <v>59949</v>
      </c>
      <c r="D6" s="289">
        <v>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AD57D-9C65-484B-BD4A-B4D644E4A99B}">
  <dimension ref="A1:K29"/>
  <sheetViews>
    <sheetView workbookViewId="0">
      <selection activeCell="A24" sqref="A24"/>
    </sheetView>
  </sheetViews>
  <sheetFormatPr defaultRowHeight="14" x14ac:dyDescent="0.3"/>
  <cols>
    <col min="1" max="1" width="17.25" customWidth="1"/>
    <col min="2" max="2" width="17.58203125" customWidth="1"/>
    <col min="3" max="4" width="13.75" customWidth="1"/>
    <col min="5" max="7" width="18.5" customWidth="1"/>
    <col min="8" max="8" width="14.58203125" customWidth="1"/>
    <col min="9" max="9" width="18.5" customWidth="1"/>
    <col min="10" max="10" width="20" customWidth="1"/>
    <col min="11" max="11" width="21.25" customWidth="1"/>
  </cols>
  <sheetData>
    <row r="1" spans="1:11" ht="14.5" x14ac:dyDescent="0.35">
      <c r="A1" s="209" t="s">
        <v>162</v>
      </c>
      <c r="B1" s="210" t="s">
        <v>137</v>
      </c>
      <c r="C1" s="206" t="s">
        <v>0</v>
      </c>
      <c r="D1" s="207" t="s">
        <v>138</v>
      </c>
      <c r="E1" s="208" t="s">
        <v>4</v>
      </c>
      <c r="F1" s="211" t="s">
        <v>9</v>
      </c>
      <c r="G1" s="208" t="s">
        <v>139</v>
      </c>
      <c r="H1" s="206" t="s">
        <v>140</v>
      </c>
      <c r="I1" s="206" t="s">
        <v>141</v>
      </c>
      <c r="J1" s="212" t="s">
        <v>142</v>
      </c>
      <c r="K1" s="212" t="s">
        <v>34</v>
      </c>
    </row>
    <row r="2" spans="1:11" ht="15" x14ac:dyDescent="0.35">
      <c r="A2" s="213" t="s">
        <v>143</v>
      </c>
      <c r="B2" s="210" t="s">
        <v>170</v>
      </c>
      <c r="C2" s="214">
        <v>-250000</v>
      </c>
      <c r="D2" s="215">
        <v>-100000</v>
      </c>
      <c r="E2" s="215">
        <v>-25000</v>
      </c>
      <c r="F2" s="216">
        <v>-150000</v>
      </c>
      <c r="G2" s="215">
        <f>F2*4.8</f>
        <v>-720000</v>
      </c>
      <c r="H2" s="217">
        <v>-100000</v>
      </c>
      <c r="I2" s="215">
        <f>H2*1.7</f>
        <v>-170000</v>
      </c>
      <c r="J2" s="218">
        <v>4.8</v>
      </c>
      <c r="K2" s="218">
        <v>1.7</v>
      </c>
    </row>
    <row r="3" spans="1:11" ht="15" x14ac:dyDescent="0.3">
      <c r="A3" s="219" t="s">
        <v>144</v>
      </c>
      <c r="B3" s="220" t="s">
        <v>145</v>
      </c>
      <c r="C3" s="214">
        <v>50000</v>
      </c>
      <c r="D3" s="215">
        <v>20000</v>
      </c>
      <c r="E3" s="215">
        <v>5000</v>
      </c>
      <c r="F3" s="216">
        <v>15000</v>
      </c>
      <c r="G3" s="215">
        <f>F3*J3</f>
        <v>72000</v>
      </c>
      <c r="H3" s="217">
        <v>200000</v>
      </c>
      <c r="I3" s="215">
        <f>H3*K3</f>
        <v>340000</v>
      </c>
      <c r="J3" s="218">
        <v>4.8</v>
      </c>
      <c r="K3" s="218">
        <v>1.7</v>
      </c>
    </row>
    <row r="4" spans="1:11" ht="15" x14ac:dyDescent="0.3">
      <c r="A4" s="219" t="s">
        <v>144</v>
      </c>
      <c r="B4" s="220" t="s">
        <v>146</v>
      </c>
      <c r="C4" s="221">
        <v>55000</v>
      </c>
      <c r="D4" s="215">
        <v>22000</v>
      </c>
      <c r="E4" s="215">
        <v>6000</v>
      </c>
      <c r="F4" s="216">
        <v>15500</v>
      </c>
      <c r="G4" s="215">
        <f t="shared" ref="G4:G14" si="0">F4*J4</f>
        <v>75175</v>
      </c>
      <c r="H4" s="222">
        <v>180000</v>
      </c>
      <c r="I4" s="215">
        <f t="shared" ref="I4:I14" si="1">H4*K4</f>
        <v>320400</v>
      </c>
      <c r="J4" s="223">
        <v>4.8499999999999996</v>
      </c>
      <c r="K4" s="223">
        <v>1.78</v>
      </c>
    </row>
    <row r="5" spans="1:11" ht="15" x14ac:dyDescent="0.3">
      <c r="A5" s="219" t="s">
        <v>144</v>
      </c>
      <c r="B5" s="220" t="s">
        <v>147</v>
      </c>
      <c r="C5" s="221">
        <v>45000</v>
      </c>
      <c r="D5" s="215">
        <f>18000</f>
        <v>18000</v>
      </c>
      <c r="E5" s="215">
        <v>4000</v>
      </c>
      <c r="F5" s="216">
        <v>13000</v>
      </c>
      <c r="G5" s="215">
        <f t="shared" si="0"/>
        <v>62400</v>
      </c>
      <c r="H5" s="222">
        <v>215000</v>
      </c>
      <c r="I5" s="215">
        <f t="shared" si="1"/>
        <v>387000</v>
      </c>
      <c r="J5" s="223">
        <v>4.8</v>
      </c>
      <c r="K5" s="223">
        <v>1.8</v>
      </c>
    </row>
    <row r="6" spans="1:11" ht="15" x14ac:dyDescent="0.3">
      <c r="A6" s="219" t="s">
        <v>144</v>
      </c>
      <c r="B6" s="220" t="s">
        <v>148</v>
      </c>
      <c r="C6" s="224">
        <v>60000</v>
      </c>
      <c r="D6" s="215">
        <f>25000</f>
        <v>25000</v>
      </c>
      <c r="E6" s="215">
        <v>8000</v>
      </c>
      <c r="F6" s="216">
        <v>18000</v>
      </c>
      <c r="G6" s="215">
        <f t="shared" si="0"/>
        <v>85500</v>
      </c>
      <c r="H6" s="222">
        <v>220000</v>
      </c>
      <c r="I6" s="215">
        <f t="shared" si="1"/>
        <v>398200</v>
      </c>
      <c r="J6" s="223">
        <v>4.75</v>
      </c>
      <c r="K6" s="223">
        <v>1.81</v>
      </c>
    </row>
    <row r="7" spans="1:11" ht="15" x14ac:dyDescent="0.3">
      <c r="A7" s="219" t="s">
        <v>144</v>
      </c>
      <c r="B7" s="220" t="s">
        <v>149</v>
      </c>
      <c r="C7" s="221">
        <v>50000</v>
      </c>
      <c r="D7" s="215">
        <v>22000</v>
      </c>
      <c r="E7" s="215">
        <v>9000</v>
      </c>
      <c r="F7" s="216">
        <v>16000</v>
      </c>
      <c r="G7" s="215">
        <f t="shared" si="0"/>
        <v>75200</v>
      </c>
      <c r="H7" s="222">
        <v>250000</v>
      </c>
      <c r="I7" s="215">
        <f t="shared" si="1"/>
        <v>445000</v>
      </c>
      <c r="J7" s="223">
        <v>4.7</v>
      </c>
      <c r="K7" s="223">
        <v>1.78</v>
      </c>
    </row>
    <row r="8" spans="1:11" ht="15" x14ac:dyDescent="0.3">
      <c r="A8" s="219" t="s">
        <v>144</v>
      </c>
      <c r="B8" s="220" t="s">
        <v>150</v>
      </c>
      <c r="C8" s="221">
        <v>55000</v>
      </c>
      <c r="D8" s="215">
        <v>25000</v>
      </c>
      <c r="E8" s="215">
        <v>10000</v>
      </c>
      <c r="F8" s="216">
        <v>18000</v>
      </c>
      <c r="G8" s="215">
        <f t="shared" si="0"/>
        <v>84240</v>
      </c>
      <c r="H8" s="222">
        <v>260000</v>
      </c>
      <c r="I8" s="215">
        <f t="shared" si="1"/>
        <v>442000</v>
      </c>
      <c r="J8" s="223">
        <v>4.68</v>
      </c>
      <c r="K8" s="223">
        <v>1.7</v>
      </c>
    </row>
    <row r="9" spans="1:11" ht="15" x14ac:dyDescent="0.3">
      <c r="A9" s="219" t="s">
        <v>144</v>
      </c>
      <c r="B9" s="220" t="s">
        <v>151</v>
      </c>
      <c r="C9" s="221">
        <v>45000</v>
      </c>
      <c r="D9" s="215">
        <v>20000</v>
      </c>
      <c r="E9" s="215">
        <v>8000</v>
      </c>
      <c r="F9" s="216">
        <v>15000</v>
      </c>
      <c r="G9" s="215">
        <f t="shared" si="0"/>
        <v>69000</v>
      </c>
      <c r="H9" s="222">
        <v>210000</v>
      </c>
      <c r="I9" s="215">
        <f t="shared" si="1"/>
        <v>336000</v>
      </c>
      <c r="J9" s="223">
        <v>4.5999999999999996</v>
      </c>
      <c r="K9" s="223">
        <v>1.6</v>
      </c>
    </row>
    <row r="10" spans="1:11" ht="15" x14ac:dyDescent="0.3">
      <c r="A10" s="219" t="s">
        <v>144</v>
      </c>
      <c r="B10" s="220" t="s">
        <v>152</v>
      </c>
      <c r="C10" s="224">
        <v>60000</v>
      </c>
      <c r="D10" s="215">
        <v>28000</v>
      </c>
      <c r="E10" s="215">
        <v>15000</v>
      </c>
      <c r="F10" s="216">
        <v>20000</v>
      </c>
      <c r="G10" s="215">
        <f t="shared" si="0"/>
        <v>91800</v>
      </c>
      <c r="H10" s="222">
        <v>260000</v>
      </c>
      <c r="I10" s="215">
        <f t="shared" si="1"/>
        <v>397800</v>
      </c>
      <c r="J10" s="223">
        <v>4.59</v>
      </c>
      <c r="K10" s="223">
        <v>1.53</v>
      </c>
    </row>
    <row r="11" spans="1:11" ht="15" x14ac:dyDescent="0.3">
      <c r="A11" s="219" t="s">
        <v>144</v>
      </c>
      <c r="B11" s="220" t="s">
        <v>153</v>
      </c>
      <c r="C11" s="225">
        <f>'[1]Exponential Triple Smoothing'!$C$24</f>
        <v>60000</v>
      </c>
      <c r="D11" s="226">
        <f>'[1]Exponential Triple Smoothing'!$C$40</f>
        <v>26611.764705882353</v>
      </c>
      <c r="E11" s="226">
        <f>'[1]Exponential Triple Smoothing'!$C$56</f>
        <v>10878.260869565216</v>
      </c>
      <c r="F11" s="227">
        <f>'[1]Exponential Triple Smoothing'!$C$72</f>
        <v>19697.560975609758</v>
      </c>
      <c r="G11" s="226">
        <f t="shared" si="0"/>
        <v>88639.024390243911</v>
      </c>
      <c r="H11" s="228">
        <f>'[1]Exponential Triple Smoothing'!$C$88</f>
        <v>294294.47852760734</v>
      </c>
      <c r="I11" s="226">
        <f t="shared" si="1"/>
        <v>441441.71779141098</v>
      </c>
      <c r="J11" s="223">
        <v>4.5</v>
      </c>
      <c r="K11" s="223">
        <v>1.5</v>
      </c>
    </row>
    <row r="12" spans="1:11" ht="15" x14ac:dyDescent="0.3">
      <c r="A12" s="219" t="s">
        <v>144</v>
      </c>
      <c r="B12" s="220" t="s">
        <v>154</v>
      </c>
      <c r="C12" s="225">
        <f>'[1]Exponential Triple Smoothing'!$C$25</f>
        <v>66000</v>
      </c>
      <c r="D12" s="226">
        <f>'[1]Exponential Triple Smoothing'!$C$41</f>
        <v>29752.941176470587</v>
      </c>
      <c r="E12" s="226">
        <f>'[1]Exponential Triple Smoothing'!$C$57</f>
        <v>12573.91304347826</v>
      </c>
      <c r="F12" s="227">
        <f>'[1]Exponential Triple Smoothing'!$C$73</f>
        <v>21234.146341463413</v>
      </c>
      <c r="G12" s="226">
        <f t="shared" si="0"/>
        <v>95553.658536585353</v>
      </c>
      <c r="H12" s="228">
        <f>'[1]Exponential Triple Smoothing'!$C$89</f>
        <v>285865.03067484661</v>
      </c>
      <c r="I12" s="226">
        <f t="shared" si="1"/>
        <v>423080.245398773</v>
      </c>
      <c r="J12" s="223">
        <v>4.5</v>
      </c>
      <c r="K12" s="223">
        <v>1.48</v>
      </c>
    </row>
    <row r="13" spans="1:11" ht="15" x14ac:dyDescent="0.3">
      <c r="A13" s="219" t="s">
        <v>144</v>
      </c>
      <c r="B13" s="220" t="s">
        <v>155</v>
      </c>
      <c r="C13" s="225">
        <f>'[1]Exponential Triple Smoothing'!$C$26</f>
        <v>54000</v>
      </c>
      <c r="D13" s="226">
        <f>'[1]Exponential Triple Smoothing'!$C$42</f>
        <v>24070.588235294119</v>
      </c>
      <c r="E13" s="226">
        <f>'[1]Exponential Triple Smoothing'!$C$58</f>
        <v>9182.608695652174</v>
      </c>
      <c r="F13" s="227">
        <f>'[1]Exponential Triple Smoothing'!$C$74</f>
        <v>17751.219512195123</v>
      </c>
      <c r="G13" s="226">
        <f t="shared" si="0"/>
        <v>79880.487804878052</v>
      </c>
      <c r="H13" s="228">
        <f>'[1]Exponential Triple Smoothing'!$C$90</f>
        <v>281116.56441717787</v>
      </c>
      <c r="I13" s="226">
        <f t="shared" si="1"/>
        <v>410430.18404907966</v>
      </c>
      <c r="J13" s="223">
        <v>4.5</v>
      </c>
      <c r="K13" s="223">
        <v>1.46</v>
      </c>
    </row>
    <row r="14" spans="1:11" ht="15" x14ac:dyDescent="0.3">
      <c r="A14" s="219" t="s">
        <v>144</v>
      </c>
      <c r="B14" s="220" t="s">
        <v>156</v>
      </c>
      <c r="C14" s="229">
        <f>'[1]Exponential Triple Smoothing'!$C$27</f>
        <v>72000</v>
      </c>
      <c r="D14" s="226">
        <f>'[1]Exponential Triple Smoothing'!$C$43</f>
        <v>33564.705882352937</v>
      </c>
      <c r="E14" s="226">
        <f>'[1]Exponential Triple Smoothing'!$C$59</f>
        <v>17765.217391304348</v>
      </c>
      <c r="F14" s="227">
        <f>'[1]Exponential Triple Smoothing'!$C$75</f>
        <v>24117.073170731706</v>
      </c>
      <c r="G14" s="226">
        <f t="shared" si="0"/>
        <v>108526.82926829268</v>
      </c>
      <c r="H14" s="228">
        <f>'[1]Exponential Triple Smoothing'!$C$91</f>
        <v>314723.92638036812</v>
      </c>
      <c r="I14" s="226">
        <f t="shared" si="1"/>
        <v>456349.69325153378</v>
      </c>
      <c r="J14" s="223">
        <v>4.5</v>
      </c>
      <c r="K14" s="223">
        <v>1.45</v>
      </c>
    </row>
    <row r="16" spans="1:11" ht="14.5" x14ac:dyDescent="0.35">
      <c r="A16" s="243" t="s">
        <v>171</v>
      </c>
      <c r="B16" s="244" t="s">
        <v>0</v>
      </c>
      <c r="C16" s="244" t="s">
        <v>138</v>
      </c>
      <c r="D16" s="244" t="s">
        <v>4</v>
      </c>
      <c r="E16" s="244" t="s">
        <v>139</v>
      </c>
      <c r="F16" s="245" t="s">
        <v>141</v>
      </c>
    </row>
    <row r="17" spans="1:6" ht="15" x14ac:dyDescent="0.3">
      <c r="A17" s="246" t="s">
        <v>73</v>
      </c>
      <c r="B17" s="247" t="s">
        <v>157</v>
      </c>
      <c r="C17" s="247" t="s">
        <v>158</v>
      </c>
      <c r="D17" s="247" t="s">
        <v>159</v>
      </c>
      <c r="E17" s="247" t="s">
        <v>160</v>
      </c>
      <c r="F17" s="248" t="s">
        <v>161</v>
      </c>
    </row>
    <row r="18" spans="1:6" ht="15" x14ac:dyDescent="0.3">
      <c r="A18" s="246" t="s">
        <v>16</v>
      </c>
      <c r="B18" s="249">
        <v>1.49</v>
      </c>
      <c r="C18" s="249">
        <v>1.6</v>
      </c>
      <c r="D18" s="249">
        <v>2.35</v>
      </c>
      <c r="E18" s="249">
        <v>0.75</v>
      </c>
      <c r="F18" s="250">
        <v>15.65</v>
      </c>
    </row>
    <row r="19" spans="1:6" ht="15" x14ac:dyDescent="0.3">
      <c r="A19" s="246" t="s">
        <v>5</v>
      </c>
      <c r="B19" s="247">
        <v>121634</v>
      </c>
      <c r="C19" s="247">
        <v>59949</v>
      </c>
      <c r="D19" s="247">
        <v>33650</v>
      </c>
      <c r="E19" s="247">
        <v>-177651</v>
      </c>
      <c r="F19" s="248">
        <v>2490015</v>
      </c>
    </row>
    <row r="20" spans="1:6" ht="15" x14ac:dyDescent="0.3">
      <c r="A20" s="251" t="s">
        <v>6</v>
      </c>
      <c r="B20" s="252">
        <v>0.19</v>
      </c>
      <c r="C20" s="252">
        <v>0.2</v>
      </c>
      <c r="D20" s="252">
        <v>0.28000000000000003</v>
      </c>
      <c r="E20" s="252">
        <v>0.05</v>
      </c>
      <c r="F20" s="253">
        <v>2.0099999999999998</v>
      </c>
    </row>
    <row r="22" spans="1:6" ht="14.5" x14ac:dyDescent="0.35">
      <c r="A22" s="233"/>
      <c r="B22" s="234"/>
      <c r="C22" s="235"/>
      <c r="D22" s="236"/>
      <c r="E22" s="236"/>
      <c r="F22" s="234"/>
    </row>
    <row r="23" spans="1:6" ht="15" x14ac:dyDescent="0.3">
      <c r="A23" s="237"/>
      <c r="B23" s="238"/>
      <c r="C23" s="239"/>
      <c r="D23" s="240"/>
      <c r="E23" s="240"/>
      <c r="F23" s="240"/>
    </row>
    <row r="24" spans="1:6" x14ac:dyDescent="0.3">
      <c r="A24" t="str" cm="1">
        <f t="array" ref="A24:E29">TRANSPOSE(Table16[#All])</f>
        <v>Metrics</v>
      </c>
      <c r="B24" t="str">
        <v xml:space="preserve">Payback Period </v>
      </c>
      <c r="C24" t="str">
        <v>Profitability Index</v>
      </c>
      <c r="D24" t="str">
        <v>NPV</v>
      </c>
      <c r="E24" t="str">
        <v>IRR</v>
      </c>
    </row>
    <row r="25" spans="1:6" x14ac:dyDescent="0.3">
      <c r="A25" t="str">
        <v>Project A</v>
      </c>
      <c r="B25" t="str">
        <v>1.20 year</v>
      </c>
      <c r="C25">
        <v>1.49</v>
      </c>
      <c r="D25">
        <v>121634</v>
      </c>
      <c r="E25">
        <v>0.19</v>
      </c>
    </row>
    <row r="26" spans="1:6" x14ac:dyDescent="0.3">
      <c r="A26" t="str">
        <v xml:space="preserve">Project B </v>
      </c>
      <c r="B26" t="str">
        <v xml:space="preserve">1.17 year </v>
      </c>
      <c r="C26">
        <v>1.6</v>
      </c>
      <c r="D26">
        <v>59949</v>
      </c>
      <c r="E26">
        <v>0.2</v>
      </c>
    </row>
    <row r="27" spans="1:6" x14ac:dyDescent="0.3">
      <c r="A27" t="str">
        <v>Project C</v>
      </c>
      <c r="B27" t="str">
        <v>1.06 year</v>
      </c>
      <c r="C27">
        <v>2.35</v>
      </c>
      <c r="D27">
        <v>33650</v>
      </c>
      <c r="E27">
        <v>0.28000000000000003</v>
      </c>
    </row>
    <row r="28" spans="1:6" x14ac:dyDescent="0.3">
      <c r="A28" t="str">
        <v>Project F1 -RM</v>
      </c>
      <c r="B28" t="str">
        <v>2.29 year</v>
      </c>
      <c r="C28">
        <v>0.75</v>
      </c>
      <c r="D28">
        <v>-177651</v>
      </c>
      <c r="E28">
        <v>0.05</v>
      </c>
    </row>
    <row r="29" spans="1:6" x14ac:dyDescent="0.3">
      <c r="A29" t="str">
        <v>Project F2 -RM</v>
      </c>
      <c r="B29" t="str">
        <v>0.13 year</v>
      </c>
      <c r="C29">
        <v>15.65</v>
      </c>
      <c r="D29">
        <v>2490015</v>
      </c>
      <c r="E29">
        <v>2.0099999999999998</v>
      </c>
    </row>
  </sheetData>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07DD9-AA02-4790-9573-09A7E1F2C374}">
  <dimension ref="A3:F4"/>
  <sheetViews>
    <sheetView zoomScaleNormal="100" workbookViewId="0">
      <selection activeCell="C38" sqref="C38"/>
    </sheetView>
  </sheetViews>
  <sheetFormatPr defaultRowHeight="14" x14ac:dyDescent="0.3"/>
  <cols>
    <col min="1" max="1" width="13.25" bestFit="1" customWidth="1"/>
    <col min="2" max="2" width="15.58203125" bestFit="1" customWidth="1"/>
    <col min="3" max="3" width="16.08203125" bestFit="1" customWidth="1"/>
    <col min="4" max="4" width="15.75" bestFit="1" customWidth="1"/>
    <col min="5" max="6" width="21.08203125" bestFit="1" customWidth="1"/>
    <col min="8" max="17" width="8"/>
  </cols>
  <sheetData>
    <row r="3" spans="1:6" x14ac:dyDescent="0.3">
      <c r="A3" s="29" t="s">
        <v>163</v>
      </c>
      <c r="B3" s="29" t="s">
        <v>165</v>
      </c>
      <c r="C3" s="29" t="s">
        <v>166</v>
      </c>
      <c r="D3" s="29" t="s">
        <v>167</v>
      </c>
      <c r="E3" s="29" t="s">
        <v>168</v>
      </c>
      <c r="F3" s="29" t="s">
        <v>169</v>
      </c>
    </row>
    <row r="4" spans="1:6" x14ac:dyDescent="0.3">
      <c r="A4" s="241" t="s">
        <v>164</v>
      </c>
      <c r="B4" s="242"/>
      <c r="C4" s="242"/>
      <c r="D4" s="242"/>
      <c r="E4" s="242"/>
      <c r="F4" s="24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C65D7-BC2C-4AC6-9763-C35DF6D0BDAA}">
  <dimension ref="A1:U94"/>
  <sheetViews>
    <sheetView showGridLines="0" topLeftCell="E1" zoomScale="110" zoomScaleNormal="110" workbookViewId="0">
      <selection activeCell="N20" sqref="N20"/>
    </sheetView>
  </sheetViews>
  <sheetFormatPr defaultRowHeight="14" x14ac:dyDescent="0.3"/>
  <cols>
    <col min="1" max="1" width="12.25" customWidth="1"/>
    <col min="2" max="2" width="18" customWidth="1"/>
    <col min="3" max="4" width="43.75" customWidth="1"/>
    <col min="5" max="5" width="17" customWidth="1"/>
    <col min="6" max="6" width="11.33203125" customWidth="1"/>
    <col min="7" max="7" width="13.75" customWidth="1"/>
    <col min="8" max="8" width="18.5" customWidth="1"/>
    <col min="9" max="9" width="14.83203125" customWidth="1"/>
    <col min="10" max="10" width="16.25" customWidth="1"/>
    <col min="11" max="11" width="14.58203125" customWidth="1"/>
    <col min="12" max="12" width="13.33203125" customWidth="1"/>
    <col min="13" max="13" width="16.75" customWidth="1"/>
    <col min="14" max="14" width="13" customWidth="1"/>
    <col min="15" max="15" width="11.83203125" customWidth="1"/>
    <col min="16" max="16" width="12.5" customWidth="1"/>
    <col min="17" max="17" width="12.75" customWidth="1"/>
    <col min="18" max="18" width="14" customWidth="1"/>
    <col min="19" max="19" width="13.5" customWidth="1"/>
    <col min="20" max="20" width="12" customWidth="1"/>
    <col min="21" max="21" width="12.75" customWidth="1"/>
  </cols>
  <sheetData>
    <row r="1" spans="1:21" ht="15.5" x14ac:dyDescent="0.35">
      <c r="A1" s="267"/>
      <c r="B1" s="268"/>
      <c r="G1" s="6" t="s">
        <v>14</v>
      </c>
      <c r="H1" s="6"/>
      <c r="I1" s="6" t="s">
        <v>35</v>
      </c>
      <c r="J1" s="7" t="s">
        <v>85</v>
      </c>
      <c r="K1" s="7" t="s">
        <v>17</v>
      </c>
      <c r="L1" s="7" t="s">
        <v>18</v>
      </c>
      <c r="M1" s="7" t="s">
        <v>19</v>
      </c>
      <c r="N1" s="7" t="s">
        <v>20</v>
      </c>
      <c r="O1" s="7" t="s">
        <v>21</v>
      </c>
      <c r="P1" s="7" t="s">
        <v>22</v>
      </c>
      <c r="Q1" s="7" t="s">
        <v>23</v>
      </c>
      <c r="R1" s="7" t="s">
        <v>28</v>
      </c>
      <c r="S1" s="7" t="s">
        <v>26</v>
      </c>
      <c r="T1" s="7" t="s">
        <v>29</v>
      </c>
      <c r="U1" s="7" t="s">
        <v>30</v>
      </c>
    </row>
    <row r="2" spans="1:21" ht="15" x14ac:dyDescent="0.3">
      <c r="A2" s="269" t="s">
        <v>76</v>
      </c>
      <c r="B2" s="269"/>
      <c r="C2" s="269"/>
      <c r="D2" s="269"/>
      <c r="E2" s="269"/>
      <c r="G2" s="7" t="s">
        <v>0</v>
      </c>
      <c r="H2" s="8" t="s">
        <v>1</v>
      </c>
      <c r="I2" s="9">
        <v>250000</v>
      </c>
      <c r="J2" s="9">
        <v>50000</v>
      </c>
      <c r="K2" s="9">
        <v>55000</v>
      </c>
      <c r="L2" s="9">
        <v>45000</v>
      </c>
      <c r="M2" s="9">
        <v>60000</v>
      </c>
      <c r="N2" s="9">
        <v>50000</v>
      </c>
      <c r="O2" s="9">
        <v>55000</v>
      </c>
      <c r="P2" s="9">
        <v>45000</v>
      </c>
      <c r="Q2" s="9">
        <v>60000</v>
      </c>
      <c r="R2" s="10">
        <f>H20</f>
        <v>60000</v>
      </c>
      <c r="S2" s="10">
        <f>I20</f>
        <v>66000</v>
      </c>
      <c r="T2" s="10">
        <f>J20</f>
        <v>54000</v>
      </c>
      <c r="U2" s="10">
        <f>K20</f>
        <v>72000</v>
      </c>
    </row>
    <row r="3" spans="1:21" ht="15" x14ac:dyDescent="0.3">
      <c r="A3" s="269"/>
      <c r="B3" s="269"/>
      <c r="C3" s="269"/>
      <c r="D3" s="269"/>
      <c r="E3" s="269"/>
      <c r="G3" s="7" t="s">
        <v>2</v>
      </c>
      <c r="H3" s="8" t="s">
        <v>1</v>
      </c>
      <c r="I3" s="9">
        <v>100000</v>
      </c>
      <c r="J3" s="9">
        <v>20000</v>
      </c>
      <c r="K3" s="9">
        <v>22000</v>
      </c>
      <c r="L3" s="9">
        <f>18000</f>
        <v>18000</v>
      </c>
      <c r="M3" s="9">
        <f>25000</f>
        <v>25000</v>
      </c>
      <c r="N3" s="9">
        <v>22000</v>
      </c>
      <c r="O3" s="9">
        <v>25000</v>
      </c>
      <c r="P3" s="9">
        <v>20000</v>
      </c>
      <c r="Q3" s="9">
        <v>28000</v>
      </c>
      <c r="R3" s="10">
        <f>H29</f>
        <v>26611.764705882353</v>
      </c>
      <c r="S3" s="10">
        <f t="shared" ref="S3:U3" si="0">I29</f>
        <v>29752.941176470587</v>
      </c>
      <c r="T3" s="10">
        <f t="shared" si="0"/>
        <v>24070.588235294119</v>
      </c>
      <c r="U3" s="10">
        <f t="shared" si="0"/>
        <v>33564.705882352937</v>
      </c>
    </row>
    <row r="4" spans="1:21" ht="15" x14ac:dyDescent="0.3">
      <c r="A4" s="269"/>
      <c r="B4" s="269"/>
      <c r="C4" s="269"/>
      <c r="D4" s="269"/>
      <c r="E4" s="269"/>
      <c r="G4" s="7" t="s">
        <v>4</v>
      </c>
      <c r="H4" s="8" t="s">
        <v>1</v>
      </c>
      <c r="I4" s="9">
        <v>25000</v>
      </c>
      <c r="J4" s="9">
        <v>5000</v>
      </c>
      <c r="K4" s="9">
        <v>6000</v>
      </c>
      <c r="L4" s="9">
        <v>4000</v>
      </c>
      <c r="M4" s="9">
        <v>8000</v>
      </c>
      <c r="N4" s="9">
        <v>9000</v>
      </c>
      <c r="O4" s="9">
        <v>10000</v>
      </c>
      <c r="P4" s="9">
        <v>8000</v>
      </c>
      <c r="Q4" s="9">
        <v>15000</v>
      </c>
      <c r="R4" s="10">
        <f>H40</f>
        <v>10878.260869565216</v>
      </c>
      <c r="S4" s="10">
        <f t="shared" ref="S4:U4" si="1">I40</f>
        <v>12573.91304347826</v>
      </c>
      <c r="T4" s="10">
        <f t="shared" si="1"/>
        <v>9182.608695652174</v>
      </c>
      <c r="U4" s="10">
        <f t="shared" si="1"/>
        <v>17765.217391304348</v>
      </c>
    </row>
    <row r="5" spans="1:21" ht="15" x14ac:dyDescent="0.3">
      <c r="A5" s="269"/>
      <c r="B5" s="269"/>
      <c r="C5" s="269"/>
      <c r="D5" s="269"/>
      <c r="E5" s="269"/>
      <c r="G5" s="7" t="s">
        <v>9</v>
      </c>
      <c r="H5" s="8" t="s">
        <v>1</v>
      </c>
      <c r="I5" s="12">
        <v>150000</v>
      </c>
      <c r="J5" s="12">
        <v>15000</v>
      </c>
      <c r="K5" s="12">
        <v>15500</v>
      </c>
      <c r="L5" s="12">
        <v>13000</v>
      </c>
      <c r="M5" s="12">
        <v>18000</v>
      </c>
      <c r="N5" s="12">
        <v>16000</v>
      </c>
      <c r="O5" s="12">
        <v>18000</v>
      </c>
      <c r="P5" s="12">
        <v>15000</v>
      </c>
      <c r="Q5" s="12">
        <v>20000</v>
      </c>
      <c r="R5" s="13">
        <f>H50</f>
        <v>19697.560975609758</v>
      </c>
      <c r="S5" s="13">
        <f t="shared" ref="S5:U5" si="2">I50</f>
        <v>21234.146341463413</v>
      </c>
      <c r="T5" s="13">
        <f t="shared" si="2"/>
        <v>17751.219512195123</v>
      </c>
      <c r="U5" s="13">
        <f t="shared" si="2"/>
        <v>24117.073170731706</v>
      </c>
    </row>
    <row r="6" spans="1:21" ht="15" x14ac:dyDescent="0.3">
      <c r="A6" s="269"/>
      <c r="B6" s="269"/>
      <c r="C6" s="269"/>
      <c r="D6" s="269"/>
      <c r="E6" s="269"/>
      <c r="G6" s="7"/>
      <c r="H6" s="8" t="s">
        <v>33</v>
      </c>
      <c r="I6" s="8">
        <v>4.8</v>
      </c>
      <c r="J6" s="8">
        <v>4.8</v>
      </c>
      <c r="K6" s="8">
        <v>4.8499999999999996</v>
      </c>
      <c r="L6" s="8">
        <v>4.8</v>
      </c>
      <c r="M6" s="8">
        <v>4.75</v>
      </c>
      <c r="N6" s="8">
        <v>4.7</v>
      </c>
      <c r="O6" s="8">
        <v>4.68</v>
      </c>
      <c r="P6" s="8">
        <v>4.5999999999999996</v>
      </c>
      <c r="Q6" s="8">
        <v>4.59</v>
      </c>
      <c r="R6" s="8">
        <v>4.5</v>
      </c>
      <c r="S6" s="8">
        <v>4.5</v>
      </c>
      <c r="T6" s="8">
        <v>4.5</v>
      </c>
      <c r="U6" s="8">
        <v>4.5</v>
      </c>
    </row>
    <row r="7" spans="1:21" ht="15" x14ac:dyDescent="0.3">
      <c r="A7" s="269"/>
      <c r="B7" s="269"/>
      <c r="C7" s="269"/>
      <c r="D7" s="269"/>
      <c r="E7" s="269"/>
      <c r="G7" s="7"/>
      <c r="H7" s="8" t="s">
        <v>3</v>
      </c>
      <c r="I7" s="9">
        <f>I5*I6</f>
        <v>720000</v>
      </c>
      <c r="J7" s="9">
        <f>J5*J6</f>
        <v>72000</v>
      </c>
      <c r="K7" s="9">
        <f t="shared" ref="K7:Q7" si="3">K5*K6</f>
        <v>75175</v>
      </c>
      <c r="L7" s="9">
        <f t="shared" si="3"/>
        <v>62400</v>
      </c>
      <c r="M7" s="9">
        <f t="shared" si="3"/>
        <v>85500</v>
      </c>
      <c r="N7" s="9">
        <f t="shared" si="3"/>
        <v>75200</v>
      </c>
      <c r="O7" s="9">
        <f t="shared" si="3"/>
        <v>84240</v>
      </c>
      <c r="P7" s="9">
        <f t="shared" si="3"/>
        <v>69000</v>
      </c>
      <c r="Q7" s="9">
        <f t="shared" si="3"/>
        <v>91800</v>
      </c>
      <c r="R7" s="10">
        <f>R5*R6</f>
        <v>88639.024390243911</v>
      </c>
      <c r="S7" s="10">
        <f t="shared" ref="S7:U7" si="4">S5*S6</f>
        <v>95553.658536585353</v>
      </c>
      <c r="T7" s="10">
        <f t="shared" si="4"/>
        <v>79880.487804878052</v>
      </c>
      <c r="U7" s="10">
        <f t="shared" si="4"/>
        <v>108526.82926829268</v>
      </c>
    </row>
    <row r="8" spans="1:21" ht="15" x14ac:dyDescent="0.3">
      <c r="A8" s="269"/>
      <c r="B8" s="269"/>
      <c r="C8" s="269"/>
      <c r="D8" s="269"/>
      <c r="E8" s="269"/>
      <c r="G8" s="7" t="s">
        <v>10</v>
      </c>
      <c r="H8" s="8" t="s">
        <v>1</v>
      </c>
      <c r="I8" s="14">
        <v>100000</v>
      </c>
      <c r="J8" s="14">
        <v>200000</v>
      </c>
      <c r="K8" s="14">
        <v>180000</v>
      </c>
      <c r="L8" s="14">
        <v>215000</v>
      </c>
      <c r="M8" s="14">
        <v>220000</v>
      </c>
      <c r="N8" s="14">
        <v>250000</v>
      </c>
      <c r="O8" s="14">
        <v>260000</v>
      </c>
      <c r="P8" s="14">
        <v>210000</v>
      </c>
      <c r="Q8" s="14">
        <v>260000</v>
      </c>
      <c r="R8" s="15">
        <f>H61</f>
        <v>294294.47852760734</v>
      </c>
      <c r="S8" s="15">
        <f t="shared" ref="S8:U8" si="5">I61</f>
        <v>285865.03067484661</v>
      </c>
      <c r="T8" s="15">
        <f t="shared" si="5"/>
        <v>281116.56441717787</v>
      </c>
      <c r="U8" s="15">
        <f t="shared" si="5"/>
        <v>314723.92638036812</v>
      </c>
    </row>
    <row r="9" spans="1:21" ht="15" x14ac:dyDescent="0.3">
      <c r="A9" s="269"/>
      <c r="B9" s="269"/>
      <c r="C9" s="269"/>
      <c r="D9" s="269"/>
      <c r="E9" s="269"/>
      <c r="G9" s="7"/>
      <c r="H9" s="8" t="s">
        <v>34</v>
      </c>
      <c r="I9" s="8">
        <v>1.7</v>
      </c>
      <c r="J9" s="8">
        <v>1.7</v>
      </c>
      <c r="K9" s="8">
        <v>1.78</v>
      </c>
      <c r="L9" s="8">
        <v>1.8</v>
      </c>
      <c r="M9" s="8">
        <v>1.81</v>
      </c>
      <c r="N9" s="8">
        <v>1.78</v>
      </c>
      <c r="O9" s="8">
        <v>1.7</v>
      </c>
      <c r="P9" s="8">
        <v>1.6</v>
      </c>
      <c r="Q9" s="8">
        <v>1.53</v>
      </c>
      <c r="R9" s="8">
        <v>1.5</v>
      </c>
      <c r="S9" s="8">
        <v>1.48</v>
      </c>
      <c r="T9" s="8">
        <v>1.46</v>
      </c>
      <c r="U9" s="8">
        <v>1.45</v>
      </c>
    </row>
    <row r="10" spans="1:21" ht="15" x14ac:dyDescent="0.3">
      <c r="B10" s="25"/>
      <c r="G10" s="7"/>
      <c r="H10" s="8" t="s">
        <v>3</v>
      </c>
      <c r="I10" s="8"/>
      <c r="J10" s="24">
        <f>J8*J9</f>
        <v>340000</v>
      </c>
      <c r="K10" s="24">
        <f t="shared" ref="K10:Q10" si="6">K8*K9</f>
        <v>320400</v>
      </c>
      <c r="L10" s="24">
        <f t="shared" si="6"/>
        <v>387000</v>
      </c>
      <c r="M10" s="24">
        <f t="shared" si="6"/>
        <v>398200</v>
      </c>
      <c r="N10" s="24">
        <f t="shared" si="6"/>
        <v>445000</v>
      </c>
      <c r="O10" s="24">
        <f t="shared" si="6"/>
        <v>442000</v>
      </c>
      <c r="P10" s="24">
        <f t="shared" si="6"/>
        <v>336000</v>
      </c>
      <c r="Q10" s="24">
        <f t="shared" si="6"/>
        <v>397800</v>
      </c>
      <c r="R10" s="10">
        <f>R8*R9</f>
        <v>441441.71779141098</v>
      </c>
      <c r="S10" s="10">
        <f t="shared" ref="S10:U10" si="7">S8*S9</f>
        <v>423080.245398773</v>
      </c>
      <c r="T10" s="10">
        <f t="shared" si="7"/>
        <v>410430.18404907966</v>
      </c>
      <c r="U10" s="10">
        <f t="shared" si="7"/>
        <v>456349.69325153378</v>
      </c>
    </row>
    <row r="11" spans="1:21" ht="14.5" x14ac:dyDescent="0.35">
      <c r="B11" s="25"/>
      <c r="E11" s="27"/>
    </row>
    <row r="12" spans="1:21" x14ac:dyDescent="0.3">
      <c r="B12" s="25"/>
    </row>
    <row r="13" spans="1:21" x14ac:dyDescent="0.3">
      <c r="B13" s="25"/>
    </row>
    <row r="14" spans="1:21" ht="14.5" x14ac:dyDescent="0.35">
      <c r="A14" s="284"/>
      <c r="B14" s="284"/>
      <c r="C14" s="284"/>
      <c r="D14" s="54"/>
      <c r="E14" s="29"/>
      <c r="F14" s="29"/>
      <c r="G14" s="29"/>
      <c r="H14" s="29"/>
      <c r="I14" s="29"/>
    </row>
    <row r="15" spans="1:21" s="29" customFormat="1" ht="14.5" x14ac:dyDescent="0.35">
      <c r="A15" s="54"/>
      <c r="B15" s="54"/>
      <c r="C15" s="54"/>
      <c r="D15" s="54"/>
    </row>
    <row r="16" spans="1:21" ht="15.5" x14ac:dyDescent="0.3">
      <c r="A16" s="283"/>
      <c r="B16" s="286" t="s">
        <v>0</v>
      </c>
      <c r="C16" s="145"/>
      <c r="D16" s="140">
        <v>2022</v>
      </c>
      <c r="E16" s="140">
        <v>2023</v>
      </c>
      <c r="F16" s="143"/>
      <c r="G16" s="143"/>
      <c r="H16" s="143"/>
      <c r="I16" s="140">
        <v>2024</v>
      </c>
      <c r="J16" s="143"/>
      <c r="K16" s="144"/>
      <c r="Q16" s="124"/>
    </row>
    <row r="17" spans="1:21" ht="15" x14ac:dyDescent="0.3">
      <c r="A17" s="283"/>
      <c r="B17" s="287"/>
      <c r="C17" s="146"/>
      <c r="D17" s="139">
        <f>SUM(J2:M2)</f>
        <v>210000</v>
      </c>
      <c r="E17" s="139">
        <f>SUM(N2:Q2)</f>
        <v>210000</v>
      </c>
      <c r="F17" s="141"/>
      <c r="G17" s="141"/>
      <c r="H17" s="141"/>
      <c r="I17" s="139">
        <f>E17+(E17*20%)</f>
        <v>252000</v>
      </c>
      <c r="J17" s="141"/>
      <c r="K17" s="142"/>
    </row>
    <row r="18" spans="1:21" ht="15.5" x14ac:dyDescent="0.3">
      <c r="A18" s="283"/>
      <c r="B18" s="287"/>
      <c r="C18" s="152" t="s">
        <v>77</v>
      </c>
      <c r="D18" s="153">
        <f xml:space="preserve"> D17/4</f>
        <v>52500</v>
      </c>
      <c r="E18" s="153">
        <f xml:space="preserve"> E17/4</f>
        <v>52500</v>
      </c>
      <c r="F18" s="154"/>
      <c r="G18" s="154"/>
      <c r="H18" s="154"/>
      <c r="I18" s="153">
        <f>I17/4</f>
        <v>63000</v>
      </c>
      <c r="J18" s="154"/>
      <c r="K18" s="155"/>
    </row>
    <row r="19" spans="1:21" ht="15.5" x14ac:dyDescent="0.3">
      <c r="A19" s="283"/>
      <c r="B19" s="287"/>
      <c r="C19" s="156"/>
      <c r="D19" s="140" t="s">
        <v>78</v>
      </c>
      <c r="E19" s="140" t="s">
        <v>79</v>
      </c>
      <c r="F19" s="140" t="s">
        <v>80</v>
      </c>
      <c r="G19" s="140" t="s">
        <v>81</v>
      </c>
      <c r="H19" s="140" t="s">
        <v>78</v>
      </c>
      <c r="I19" s="140" t="s">
        <v>79</v>
      </c>
      <c r="J19" s="140" t="s">
        <v>80</v>
      </c>
      <c r="K19" s="157" t="s">
        <v>81</v>
      </c>
    </row>
    <row r="20" spans="1:21" ht="15.5" x14ac:dyDescent="0.3">
      <c r="A20" s="283"/>
      <c r="B20" s="287"/>
      <c r="C20" s="149" t="s">
        <v>82</v>
      </c>
      <c r="D20" s="150">
        <f>J2/$D18</f>
        <v>0.95238095238095233</v>
      </c>
      <c r="E20" s="150">
        <f>K2/$D18</f>
        <v>1.0476190476190477</v>
      </c>
      <c r="F20" s="150">
        <f>L2/$D18</f>
        <v>0.8571428571428571</v>
      </c>
      <c r="G20" s="150">
        <f>M2/$D18</f>
        <v>1.1428571428571428</v>
      </c>
      <c r="H20" s="139">
        <f>D22*$I18</f>
        <v>60000</v>
      </c>
      <c r="I20" s="139">
        <f t="shared" ref="I20:K20" si="8">E22*$I18</f>
        <v>66000</v>
      </c>
      <c r="J20" s="139">
        <f t="shared" si="8"/>
        <v>54000</v>
      </c>
      <c r="K20" s="151">
        <f t="shared" si="8"/>
        <v>72000</v>
      </c>
    </row>
    <row r="21" spans="1:21" ht="15.5" x14ac:dyDescent="0.3">
      <c r="A21" s="283"/>
      <c r="B21" s="287"/>
      <c r="C21" s="147" t="s">
        <v>83</v>
      </c>
      <c r="D21" s="134">
        <f>N2/$E18</f>
        <v>0.95238095238095233</v>
      </c>
      <c r="E21" s="134">
        <f t="shared" ref="E21:G21" si="9">O2/$E18</f>
        <v>1.0476190476190477</v>
      </c>
      <c r="F21" s="134">
        <f t="shared" si="9"/>
        <v>0.8571428571428571</v>
      </c>
      <c r="G21" s="134">
        <f t="shared" si="9"/>
        <v>1.1428571428571428</v>
      </c>
      <c r="H21" s="133"/>
      <c r="I21" s="133"/>
      <c r="J21" s="133"/>
      <c r="K21" s="135"/>
    </row>
    <row r="22" spans="1:21" ht="15.5" x14ac:dyDescent="0.3">
      <c r="A22" s="283"/>
      <c r="B22" s="288"/>
      <c r="C22" s="148" t="s">
        <v>84</v>
      </c>
      <c r="D22" s="136">
        <f>AVERAGE(D20:D21)</f>
        <v>0.95238095238095233</v>
      </c>
      <c r="E22" s="136">
        <f t="shared" ref="E22:G22" si="10">AVERAGE(E20:E21)</f>
        <v>1.0476190476190477</v>
      </c>
      <c r="F22" s="136">
        <f t="shared" si="10"/>
        <v>0.8571428571428571</v>
      </c>
      <c r="G22" s="136">
        <f t="shared" si="10"/>
        <v>1.1428571428571428</v>
      </c>
      <c r="H22" s="137"/>
      <c r="I22" s="137"/>
      <c r="J22" s="137"/>
      <c r="K22" s="138"/>
    </row>
    <row r="23" spans="1:21" ht="15" x14ac:dyDescent="0.3">
      <c r="A23" s="131"/>
      <c r="B23" s="128"/>
      <c r="C23" s="84"/>
      <c r="D23" s="84"/>
      <c r="E23" s="29"/>
      <c r="F23" s="29"/>
      <c r="G23" s="29"/>
      <c r="H23" s="29"/>
      <c r="I23" s="29"/>
    </row>
    <row r="24" spans="1:21" ht="14.5" x14ac:dyDescent="0.35">
      <c r="A24" s="132"/>
      <c r="B24" s="128"/>
      <c r="C24" s="129"/>
      <c r="D24" s="129"/>
      <c r="E24" s="29"/>
      <c r="F24" s="29"/>
      <c r="G24" s="29"/>
      <c r="H24" s="29"/>
      <c r="I24" s="29"/>
    </row>
    <row r="25" spans="1:21" ht="15.75" customHeight="1" x14ac:dyDescent="0.3">
      <c r="A25" s="132"/>
      <c r="B25" s="286" t="s">
        <v>2</v>
      </c>
      <c r="C25" s="145"/>
      <c r="D25" s="140">
        <v>2022</v>
      </c>
      <c r="E25" s="140">
        <v>2023</v>
      </c>
      <c r="F25" s="143"/>
      <c r="G25" s="143"/>
      <c r="H25" s="143"/>
      <c r="I25" s="140">
        <v>2024</v>
      </c>
      <c r="J25" s="143"/>
      <c r="K25" s="144"/>
    </row>
    <row r="26" spans="1:21" ht="15" x14ac:dyDescent="0.35">
      <c r="A26" s="158"/>
      <c r="B26" s="287"/>
      <c r="C26" s="146"/>
      <c r="D26" s="139">
        <f>SUM(J3:M3)</f>
        <v>85000</v>
      </c>
      <c r="E26" s="139">
        <f>SUM(N3:Q3)</f>
        <v>95000</v>
      </c>
      <c r="F26" s="141"/>
      <c r="G26" s="141"/>
      <c r="H26" s="141"/>
      <c r="I26" s="139">
        <f>E26+(E26*20%)</f>
        <v>114000</v>
      </c>
      <c r="J26" s="141"/>
      <c r="K26" s="142"/>
    </row>
    <row r="27" spans="1:21" ht="15.5" x14ac:dyDescent="0.35">
      <c r="A27" s="158"/>
      <c r="B27" s="287"/>
      <c r="C27" s="152" t="s">
        <v>77</v>
      </c>
      <c r="D27" s="153">
        <f xml:space="preserve"> D26/4</f>
        <v>21250</v>
      </c>
      <c r="E27" s="153">
        <f xml:space="preserve"> E26/4</f>
        <v>23750</v>
      </c>
      <c r="F27" s="154"/>
      <c r="G27" s="154"/>
      <c r="H27" s="154"/>
      <c r="I27" s="153">
        <f>I26/4</f>
        <v>28500</v>
      </c>
      <c r="J27" s="154"/>
      <c r="K27" s="155"/>
    </row>
    <row r="28" spans="1:21" ht="15.75" customHeight="1" x14ac:dyDescent="0.3">
      <c r="A28" s="132"/>
      <c r="B28" s="287"/>
      <c r="C28" s="156"/>
      <c r="D28" s="140" t="s">
        <v>78</v>
      </c>
      <c r="E28" s="140" t="s">
        <v>79</v>
      </c>
      <c r="F28" s="140" t="s">
        <v>80</v>
      </c>
      <c r="G28" s="140" t="s">
        <v>81</v>
      </c>
      <c r="H28" s="140" t="s">
        <v>78</v>
      </c>
      <c r="I28" s="140" t="s">
        <v>79</v>
      </c>
      <c r="J28" s="140" t="s">
        <v>80</v>
      </c>
      <c r="K28" s="157" t="s">
        <v>81</v>
      </c>
    </row>
    <row r="29" spans="1:21" ht="15.75" customHeight="1" x14ac:dyDescent="0.3">
      <c r="A29" s="132"/>
      <c r="B29" s="287"/>
      <c r="C29" s="149" t="s">
        <v>82</v>
      </c>
      <c r="D29" s="150">
        <f>J3/$D27</f>
        <v>0.94117647058823528</v>
      </c>
      <c r="E29" s="150">
        <f t="shared" ref="E29:G29" si="11">K3/$D27</f>
        <v>1.0352941176470589</v>
      </c>
      <c r="F29" s="150">
        <f t="shared" si="11"/>
        <v>0.84705882352941175</v>
      </c>
      <c r="G29" s="150">
        <f t="shared" si="11"/>
        <v>1.1764705882352942</v>
      </c>
      <c r="H29" s="139">
        <f>D31*$I27</f>
        <v>26611.764705882353</v>
      </c>
      <c r="I29" s="139">
        <f t="shared" ref="I29:K29" si="12">E31*$I27</f>
        <v>29752.941176470587</v>
      </c>
      <c r="J29" s="139">
        <f t="shared" si="12"/>
        <v>24070.588235294119</v>
      </c>
      <c r="K29" s="139">
        <f t="shared" si="12"/>
        <v>33564.705882352937</v>
      </c>
    </row>
    <row r="30" spans="1:21" ht="15.75" customHeight="1" x14ac:dyDescent="0.3">
      <c r="A30" s="132"/>
      <c r="B30" s="287"/>
      <c r="C30" s="147" t="s">
        <v>83</v>
      </c>
      <c r="D30" s="134">
        <f>N3/$E27</f>
        <v>0.9263157894736842</v>
      </c>
      <c r="E30" s="134">
        <f t="shared" ref="E30:G30" si="13">O3/$E27</f>
        <v>1.0526315789473684</v>
      </c>
      <c r="F30" s="134">
        <f t="shared" si="13"/>
        <v>0.84210526315789469</v>
      </c>
      <c r="G30" s="134">
        <f t="shared" si="13"/>
        <v>1.1789473684210525</v>
      </c>
      <c r="H30" s="133"/>
      <c r="I30" s="133"/>
      <c r="J30" s="133"/>
      <c r="K30" s="135"/>
    </row>
    <row r="31" spans="1:21" ht="15.5" x14ac:dyDescent="0.3">
      <c r="A31" s="132"/>
      <c r="B31" s="288"/>
      <c r="C31" s="148" t="s">
        <v>84</v>
      </c>
      <c r="D31" s="136">
        <f>AVERAGE(D29:D30)</f>
        <v>0.93374613003095974</v>
      </c>
      <c r="E31" s="136">
        <f t="shared" ref="E31" si="14">AVERAGE(E29:E30)</f>
        <v>1.0439628482972136</v>
      </c>
      <c r="F31" s="136">
        <f t="shared" ref="F31" si="15">AVERAGE(F29:F30)</f>
        <v>0.84458204334365328</v>
      </c>
      <c r="G31" s="136">
        <f t="shared" ref="G31" si="16">AVERAGE(G29:G30)</f>
        <v>1.1777089783281733</v>
      </c>
      <c r="H31" s="137"/>
      <c r="I31" s="137"/>
      <c r="J31" s="137"/>
      <c r="K31" s="138"/>
      <c r="N31" s="5"/>
      <c r="O31" s="5"/>
      <c r="P31" s="5"/>
      <c r="Q31" s="5"/>
      <c r="R31" s="5"/>
      <c r="S31" s="5"/>
      <c r="T31" s="5"/>
      <c r="U31" s="5"/>
    </row>
    <row r="32" spans="1:21" ht="15" x14ac:dyDescent="0.3">
      <c r="A32" s="132"/>
      <c r="B32" s="128"/>
      <c r="C32" s="84"/>
      <c r="D32" s="84"/>
      <c r="E32" s="29"/>
      <c r="F32" s="29"/>
      <c r="G32" s="29"/>
      <c r="H32" s="29"/>
      <c r="I32" s="29"/>
      <c r="M32" s="2"/>
      <c r="N32" s="28"/>
      <c r="O32" s="28"/>
      <c r="P32" s="28"/>
      <c r="Q32" s="28"/>
      <c r="R32" s="28"/>
      <c r="S32" s="28"/>
      <c r="T32" s="28"/>
      <c r="U32" s="28"/>
    </row>
    <row r="33" spans="1:21" ht="15" x14ac:dyDescent="0.3">
      <c r="A33" s="132"/>
      <c r="B33" s="128"/>
      <c r="C33" s="84"/>
      <c r="D33" s="84"/>
      <c r="E33" s="29"/>
      <c r="F33" s="29"/>
      <c r="G33" s="29"/>
      <c r="H33" s="29"/>
      <c r="I33" s="29"/>
      <c r="M33" s="2"/>
      <c r="N33" s="28"/>
      <c r="O33" s="28"/>
      <c r="P33" s="28"/>
      <c r="Q33" s="28"/>
      <c r="R33" s="28"/>
      <c r="S33" s="28"/>
      <c r="T33" s="28"/>
      <c r="U33" s="28"/>
    </row>
    <row r="34" spans="1:21" ht="15" x14ac:dyDescent="0.3">
      <c r="A34" s="132"/>
      <c r="B34" s="128"/>
      <c r="C34" s="84"/>
      <c r="D34" s="84"/>
      <c r="E34" s="29"/>
      <c r="F34" s="29"/>
      <c r="G34" s="29"/>
      <c r="H34" s="29"/>
      <c r="I34" s="29"/>
      <c r="M34" s="2"/>
      <c r="N34" s="28"/>
      <c r="O34" s="28"/>
      <c r="P34" s="28"/>
      <c r="Q34" s="28"/>
      <c r="R34" s="28"/>
      <c r="S34" s="28"/>
      <c r="T34" s="28"/>
      <c r="U34" s="28"/>
    </row>
    <row r="35" spans="1:21" ht="14.5" x14ac:dyDescent="0.35">
      <c r="A35" s="54"/>
      <c r="B35" s="54"/>
      <c r="C35" s="54"/>
      <c r="D35" s="54"/>
      <c r="E35" s="29"/>
      <c r="F35" s="29"/>
      <c r="G35" s="29"/>
      <c r="H35" s="29"/>
      <c r="I35" s="29"/>
    </row>
    <row r="36" spans="1:21" ht="15.5" x14ac:dyDescent="0.3">
      <c r="A36" s="283"/>
      <c r="B36" s="286" t="s">
        <v>4</v>
      </c>
      <c r="C36" s="145"/>
      <c r="D36" s="140">
        <v>2022</v>
      </c>
      <c r="E36" s="140">
        <v>2023</v>
      </c>
      <c r="F36" s="143"/>
      <c r="G36" s="143"/>
      <c r="H36" s="143"/>
      <c r="I36" s="140">
        <v>2024</v>
      </c>
      <c r="J36" s="143"/>
      <c r="K36" s="144"/>
    </row>
    <row r="37" spans="1:21" ht="15.75" customHeight="1" x14ac:dyDescent="0.3">
      <c r="A37" s="283"/>
      <c r="B37" s="287"/>
      <c r="C37" s="146"/>
      <c r="D37" s="139">
        <f>SUM(J4:M4)</f>
        <v>23000</v>
      </c>
      <c r="E37" s="139">
        <f>SUM(N4:Q4)</f>
        <v>42000</v>
      </c>
      <c r="F37" s="141"/>
      <c r="G37" s="141"/>
      <c r="H37" s="141"/>
      <c r="I37" s="139">
        <f>E37+(E37*20%)</f>
        <v>50400</v>
      </c>
      <c r="J37" s="141"/>
      <c r="K37" s="142"/>
    </row>
    <row r="38" spans="1:21" ht="15.5" x14ac:dyDescent="0.3">
      <c r="A38" s="283"/>
      <c r="B38" s="287"/>
      <c r="C38" s="152" t="s">
        <v>77</v>
      </c>
      <c r="D38" s="153">
        <f xml:space="preserve"> D37/4</f>
        <v>5750</v>
      </c>
      <c r="E38" s="153">
        <f xml:space="preserve"> E37/4</f>
        <v>10500</v>
      </c>
      <c r="F38" s="154"/>
      <c r="G38" s="154"/>
      <c r="H38" s="154"/>
      <c r="I38" s="153">
        <f>I37/4</f>
        <v>12600</v>
      </c>
      <c r="J38" s="154"/>
      <c r="K38" s="155"/>
    </row>
    <row r="39" spans="1:21" ht="15.5" x14ac:dyDescent="0.3">
      <c r="A39" s="283"/>
      <c r="B39" s="287"/>
      <c r="C39" s="156"/>
      <c r="D39" s="140" t="s">
        <v>78</v>
      </c>
      <c r="E39" s="140" t="s">
        <v>79</v>
      </c>
      <c r="F39" s="140" t="s">
        <v>80</v>
      </c>
      <c r="G39" s="140" t="s">
        <v>81</v>
      </c>
      <c r="H39" s="140" t="s">
        <v>78</v>
      </c>
      <c r="I39" s="140" t="s">
        <v>79</v>
      </c>
      <c r="J39" s="140" t="s">
        <v>80</v>
      </c>
      <c r="K39" s="157" t="s">
        <v>81</v>
      </c>
    </row>
    <row r="40" spans="1:21" ht="15.5" x14ac:dyDescent="0.3">
      <c r="A40" s="283"/>
      <c r="B40" s="287"/>
      <c r="C40" s="149" t="s">
        <v>82</v>
      </c>
      <c r="D40" s="150">
        <f>J4/$D38</f>
        <v>0.86956521739130432</v>
      </c>
      <c r="E40" s="150">
        <f t="shared" ref="E40:G40" si="17">K4/$D38</f>
        <v>1.0434782608695652</v>
      </c>
      <c r="F40" s="150">
        <f t="shared" si="17"/>
        <v>0.69565217391304346</v>
      </c>
      <c r="G40" s="150">
        <f t="shared" si="17"/>
        <v>1.3913043478260869</v>
      </c>
      <c r="H40" s="139">
        <f>D42*$I38</f>
        <v>10878.260869565216</v>
      </c>
      <c r="I40" s="139">
        <f t="shared" ref="I40" si="18">E42*$I38</f>
        <v>12573.91304347826</v>
      </c>
      <c r="J40" s="139">
        <f t="shared" ref="J40" si="19">F42*$I38</f>
        <v>9182.608695652174</v>
      </c>
      <c r="K40" s="151">
        <f>G42*$I38</f>
        <v>17765.217391304348</v>
      </c>
    </row>
    <row r="41" spans="1:21" ht="15.5" x14ac:dyDescent="0.3">
      <c r="A41" s="283"/>
      <c r="B41" s="287"/>
      <c r="C41" s="147" t="s">
        <v>83</v>
      </c>
      <c r="D41" s="134">
        <f>N4/$E38</f>
        <v>0.8571428571428571</v>
      </c>
      <c r="E41" s="134">
        <f t="shared" ref="E41:G41" si="20">O4/$E38</f>
        <v>0.95238095238095233</v>
      </c>
      <c r="F41" s="134">
        <f t="shared" si="20"/>
        <v>0.76190476190476186</v>
      </c>
      <c r="G41" s="134">
        <f t="shared" si="20"/>
        <v>1.4285714285714286</v>
      </c>
      <c r="H41" s="133"/>
      <c r="I41" s="133"/>
      <c r="J41" s="133"/>
      <c r="K41" s="135"/>
    </row>
    <row r="42" spans="1:21" ht="15.5" x14ac:dyDescent="0.3">
      <c r="A42" s="283"/>
      <c r="B42" s="288"/>
      <c r="C42" s="148" t="s">
        <v>84</v>
      </c>
      <c r="D42" s="136">
        <f>AVERAGE(D40:D41)</f>
        <v>0.86335403726708071</v>
      </c>
      <c r="E42" s="136">
        <f t="shared" ref="E42" si="21">AVERAGE(E40:E41)</f>
        <v>0.99792960662525876</v>
      </c>
      <c r="F42" s="136">
        <f t="shared" ref="F42" si="22">AVERAGE(F40:F41)</f>
        <v>0.72877846790890266</v>
      </c>
      <c r="G42" s="136">
        <f t="shared" ref="G42" si="23">AVERAGE(G40:G41)</f>
        <v>1.4099378881987579</v>
      </c>
      <c r="H42" s="137"/>
      <c r="I42" s="137"/>
      <c r="J42" s="137"/>
      <c r="K42" s="138"/>
    </row>
    <row r="43" spans="1:21" ht="15" x14ac:dyDescent="0.3">
      <c r="A43" s="283"/>
      <c r="B43" s="128"/>
      <c r="C43" s="84"/>
      <c r="D43" s="84"/>
      <c r="E43" s="29"/>
      <c r="F43" s="29"/>
      <c r="G43" s="29"/>
      <c r="H43" s="29"/>
      <c r="I43" s="29"/>
    </row>
    <row r="44" spans="1:21" ht="15" x14ac:dyDescent="0.3">
      <c r="A44" s="283"/>
      <c r="B44" s="128"/>
      <c r="C44" s="123"/>
      <c r="D44" s="123"/>
      <c r="E44" s="29"/>
      <c r="F44" s="29"/>
      <c r="G44" s="29"/>
      <c r="H44" s="29"/>
      <c r="I44" s="29"/>
    </row>
    <row r="45" spans="1:21" ht="15" x14ac:dyDescent="0.3">
      <c r="A45" s="283"/>
      <c r="B45" s="128"/>
      <c r="C45" s="123"/>
      <c r="D45" s="123"/>
      <c r="E45" s="29"/>
      <c r="F45" s="29"/>
      <c r="G45" s="29"/>
      <c r="H45" s="29"/>
      <c r="I45" s="29"/>
    </row>
    <row r="46" spans="1:21" ht="15.5" x14ac:dyDescent="0.3">
      <c r="A46" s="283"/>
      <c r="B46" s="286" t="s">
        <v>9</v>
      </c>
      <c r="C46" s="145"/>
      <c r="D46" s="140">
        <v>2022</v>
      </c>
      <c r="E46" s="140">
        <v>2023</v>
      </c>
      <c r="F46" s="143"/>
      <c r="G46" s="143"/>
      <c r="H46" s="143"/>
      <c r="I46" s="140">
        <v>2024</v>
      </c>
      <c r="J46" s="143"/>
      <c r="K46" s="144"/>
    </row>
    <row r="47" spans="1:21" ht="15" x14ac:dyDescent="0.3">
      <c r="A47" s="283"/>
      <c r="B47" s="287"/>
      <c r="C47" s="146"/>
      <c r="D47" s="162">
        <f>SUM(J5:M5)</f>
        <v>61500</v>
      </c>
      <c r="E47" s="162">
        <f>SUM(N5:Q5)</f>
        <v>69000</v>
      </c>
      <c r="F47" s="141"/>
      <c r="G47" s="141"/>
      <c r="H47" s="141"/>
      <c r="I47" s="162">
        <f>E47+(E47*20%)</f>
        <v>82800</v>
      </c>
      <c r="J47" s="141"/>
      <c r="K47" s="142"/>
    </row>
    <row r="48" spans="1:21" ht="15.5" x14ac:dyDescent="0.3">
      <c r="A48" s="283"/>
      <c r="B48" s="287"/>
      <c r="C48" s="152" t="s">
        <v>77</v>
      </c>
      <c r="D48" s="162">
        <f xml:space="preserve"> D47/4</f>
        <v>15375</v>
      </c>
      <c r="E48" s="162">
        <f xml:space="preserve"> E47/4</f>
        <v>17250</v>
      </c>
      <c r="F48" s="154"/>
      <c r="G48" s="154"/>
      <c r="H48" s="154"/>
      <c r="I48" s="162">
        <f>I47/4</f>
        <v>20700</v>
      </c>
      <c r="J48" s="154"/>
      <c r="K48" s="155"/>
    </row>
    <row r="49" spans="1:11" ht="15.5" x14ac:dyDescent="0.3">
      <c r="A49" s="283"/>
      <c r="B49" s="287"/>
      <c r="C49" s="156"/>
      <c r="D49" s="140" t="s">
        <v>78</v>
      </c>
      <c r="E49" s="140" t="s">
        <v>79</v>
      </c>
      <c r="F49" s="140" t="s">
        <v>80</v>
      </c>
      <c r="G49" s="140" t="s">
        <v>81</v>
      </c>
      <c r="H49" s="140" t="s">
        <v>78</v>
      </c>
      <c r="I49" s="140" t="s">
        <v>79</v>
      </c>
      <c r="J49" s="140" t="s">
        <v>80</v>
      </c>
      <c r="K49" s="157" t="s">
        <v>81</v>
      </c>
    </row>
    <row r="50" spans="1:11" ht="15.5" x14ac:dyDescent="0.3">
      <c r="A50" s="283"/>
      <c r="B50" s="287"/>
      <c r="C50" s="149" t="s">
        <v>82</v>
      </c>
      <c r="D50" s="150">
        <f>J5/$D48</f>
        <v>0.97560975609756095</v>
      </c>
      <c r="E50" s="150">
        <f t="shared" ref="E50:G50" si="24">K5/$D48</f>
        <v>1.0081300813008129</v>
      </c>
      <c r="F50" s="150">
        <f t="shared" si="24"/>
        <v>0.84552845528455289</v>
      </c>
      <c r="G50" s="150">
        <f t="shared" si="24"/>
        <v>1.1707317073170731</v>
      </c>
      <c r="H50" s="162">
        <f>D52*$I48</f>
        <v>19697.560975609758</v>
      </c>
      <c r="I50" s="162">
        <f t="shared" ref="I50" si="25">E52*$I48</f>
        <v>21234.146341463413</v>
      </c>
      <c r="J50" s="162">
        <f t="shared" ref="J50" si="26">F52*$I48</f>
        <v>17751.219512195123</v>
      </c>
      <c r="K50" s="162">
        <f t="shared" ref="K50" si="27">G52*$I48</f>
        <v>24117.073170731706</v>
      </c>
    </row>
    <row r="51" spans="1:11" ht="15.5" x14ac:dyDescent="0.3">
      <c r="A51" s="283"/>
      <c r="B51" s="287"/>
      <c r="C51" s="147" t="s">
        <v>83</v>
      </c>
      <c r="D51" s="134">
        <f>N5/$E48</f>
        <v>0.92753623188405798</v>
      </c>
      <c r="E51" s="134">
        <f t="shared" ref="E51:G51" si="28">O5/$E48</f>
        <v>1.0434782608695652</v>
      </c>
      <c r="F51" s="134">
        <f t="shared" si="28"/>
        <v>0.86956521739130432</v>
      </c>
      <c r="G51" s="134">
        <f t="shared" si="28"/>
        <v>1.1594202898550725</v>
      </c>
      <c r="H51" s="133"/>
      <c r="I51" s="133"/>
      <c r="J51" s="133"/>
      <c r="K51" s="135"/>
    </row>
    <row r="52" spans="1:11" ht="15.5" x14ac:dyDescent="0.3">
      <c r="A52" s="283"/>
      <c r="B52" s="288"/>
      <c r="C52" s="148" t="s">
        <v>84</v>
      </c>
      <c r="D52" s="136">
        <f>AVERAGE(D50:D51)</f>
        <v>0.95157299399080952</v>
      </c>
      <c r="E52" s="136">
        <f t="shared" ref="E52" si="29">AVERAGE(E50:E51)</f>
        <v>1.0258041710851891</v>
      </c>
      <c r="F52" s="136">
        <f t="shared" ref="F52" si="30">AVERAGE(F50:F51)</f>
        <v>0.85754683633792861</v>
      </c>
      <c r="G52" s="136">
        <f t="shared" ref="G52" si="31">AVERAGE(G50:G51)</f>
        <v>1.1650759985860728</v>
      </c>
      <c r="H52" s="137"/>
      <c r="I52" s="137"/>
      <c r="J52" s="137"/>
      <c r="K52" s="138"/>
    </row>
    <row r="53" spans="1:11" ht="15" x14ac:dyDescent="0.3">
      <c r="A53" s="283"/>
      <c r="B53" s="128"/>
      <c r="C53" s="123"/>
      <c r="D53" s="123"/>
      <c r="E53" s="29"/>
      <c r="F53" s="29"/>
      <c r="G53" s="29"/>
      <c r="H53" s="29"/>
      <c r="I53" s="29"/>
    </row>
    <row r="54" spans="1:11" ht="15" x14ac:dyDescent="0.3">
      <c r="A54" s="283"/>
      <c r="B54" s="128"/>
      <c r="C54" s="123"/>
      <c r="D54" s="123"/>
      <c r="E54" s="29"/>
      <c r="F54" s="29"/>
      <c r="G54" s="29"/>
      <c r="H54" s="29"/>
      <c r="I54" s="29"/>
    </row>
    <row r="55" spans="1:11" ht="15" x14ac:dyDescent="0.3">
      <c r="A55" s="283"/>
      <c r="B55" s="128"/>
      <c r="C55" s="123"/>
      <c r="D55" s="123"/>
      <c r="E55" s="29"/>
      <c r="F55" s="29"/>
      <c r="G55" s="29"/>
      <c r="H55" s="29"/>
      <c r="I55" s="29"/>
    </row>
    <row r="56" spans="1:11" ht="14.5" x14ac:dyDescent="0.35">
      <c r="A56" s="284"/>
      <c r="B56" s="284"/>
      <c r="C56" s="284"/>
      <c r="D56" s="54"/>
      <c r="E56" s="29"/>
      <c r="F56" s="29"/>
      <c r="G56" s="29"/>
      <c r="H56" s="29"/>
      <c r="I56" s="29"/>
    </row>
    <row r="57" spans="1:11" ht="15.5" x14ac:dyDescent="0.35">
      <c r="A57" s="54"/>
      <c r="B57" s="286" t="s">
        <v>10</v>
      </c>
      <c r="C57" s="145"/>
      <c r="D57" s="140">
        <v>2022</v>
      </c>
      <c r="E57" s="140">
        <v>2023</v>
      </c>
      <c r="F57" s="143"/>
      <c r="G57" s="143"/>
      <c r="H57" s="143"/>
      <c r="I57" s="140">
        <v>2024</v>
      </c>
      <c r="J57" s="143"/>
      <c r="K57" s="144"/>
    </row>
    <row r="58" spans="1:11" ht="15" x14ac:dyDescent="0.3">
      <c r="A58" s="283"/>
      <c r="B58" s="287"/>
      <c r="C58" s="146"/>
      <c r="D58" s="61">
        <f>SUM(J8:M8)</f>
        <v>815000</v>
      </c>
      <c r="E58" s="61">
        <f>SUM(N8:Q8)</f>
        <v>980000</v>
      </c>
      <c r="F58" s="141"/>
      <c r="G58" s="141"/>
      <c r="H58" s="141"/>
      <c r="I58" s="61">
        <f>E58+(E58*20%)</f>
        <v>1176000</v>
      </c>
      <c r="J58" s="141"/>
      <c r="K58" s="142"/>
    </row>
    <row r="59" spans="1:11" ht="15.5" x14ac:dyDescent="0.3">
      <c r="A59" s="283"/>
      <c r="B59" s="287"/>
      <c r="C59" s="152" t="s">
        <v>77</v>
      </c>
      <c r="D59" s="61">
        <f xml:space="preserve"> D58/4</f>
        <v>203750</v>
      </c>
      <c r="E59" s="61">
        <f xml:space="preserve"> E58/4</f>
        <v>245000</v>
      </c>
      <c r="F59" s="154"/>
      <c r="G59" s="154"/>
      <c r="H59" s="154"/>
      <c r="I59" s="61">
        <f>I58/4</f>
        <v>294000</v>
      </c>
      <c r="J59" s="154"/>
      <c r="K59" s="155"/>
    </row>
    <row r="60" spans="1:11" ht="15.5" x14ac:dyDescent="0.3">
      <c r="A60" s="283"/>
      <c r="B60" s="287"/>
      <c r="C60" s="156"/>
      <c r="D60" s="140" t="s">
        <v>78</v>
      </c>
      <c r="E60" s="140" t="s">
        <v>79</v>
      </c>
      <c r="F60" s="140" t="s">
        <v>80</v>
      </c>
      <c r="G60" s="140" t="s">
        <v>81</v>
      </c>
      <c r="H60" s="140" t="s">
        <v>78</v>
      </c>
      <c r="I60" s="140" t="s">
        <v>79</v>
      </c>
      <c r="J60" s="140" t="s">
        <v>80</v>
      </c>
      <c r="K60" s="157" t="s">
        <v>81</v>
      </c>
    </row>
    <row r="61" spans="1:11" ht="15.5" x14ac:dyDescent="0.3">
      <c r="A61" s="283"/>
      <c r="B61" s="287"/>
      <c r="C61" s="149" t="s">
        <v>82</v>
      </c>
      <c r="D61" s="150">
        <f>J8/$D59</f>
        <v>0.98159509202453987</v>
      </c>
      <c r="E61" s="150">
        <f t="shared" ref="E61:G61" si="32">K8/$D59</f>
        <v>0.8834355828220859</v>
      </c>
      <c r="F61" s="150">
        <f t="shared" si="32"/>
        <v>1.0552147239263803</v>
      </c>
      <c r="G61" s="150">
        <f t="shared" si="32"/>
        <v>1.0797546012269938</v>
      </c>
      <c r="H61" s="61">
        <f>D63*$I59</f>
        <v>294294.47852760734</v>
      </c>
      <c r="I61" s="61">
        <f t="shared" ref="I61" si="33">E63*$I59</f>
        <v>285865.03067484661</v>
      </c>
      <c r="J61" s="61">
        <f t="shared" ref="J61" si="34">F63*$I59</f>
        <v>281116.56441717787</v>
      </c>
      <c r="K61" s="61">
        <f t="shared" ref="K61" si="35">G63*$I59</f>
        <v>314723.92638036812</v>
      </c>
    </row>
    <row r="62" spans="1:11" ht="15.5" x14ac:dyDescent="0.3">
      <c r="A62" s="283"/>
      <c r="B62" s="287"/>
      <c r="C62" s="147" t="s">
        <v>83</v>
      </c>
      <c r="D62" s="134">
        <f>N8/$E59</f>
        <v>1.0204081632653061</v>
      </c>
      <c r="E62" s="134">
        <f t="shared" ref="E62:G62" si="36">O8/$E59</f>
        <v>1.0612244897959184</v>
      </c>
      <c r="F62" s="134">
        <f t="shared" si="36"/>
        <v>0.8571428571428571</v>
      </c>
      <c r="G62" s="134">
        <f t="shared" si="36"/>
        <v>1.0612244897959184</v>
      </c>
      <c r="H62" s="133"/>
      <c r="I62" s="133"/>
      <c r="J62" s="133"/>
      <c r="K62" s="135"/>
    </row>
    <row r="63" spans="1:11" ht="15.5" x14ac:dyDescent="0.3">
      <c r="A63" s="283"/>
      <c r="B63" s="288"/>
      <c r="C63" s="148" t="s">
        <v>84</v>
      </c>
      <c r="D63" s="136">
        <f>AVERAGE(D61:D62)</f>
        <v>1.001001627644923</v>
      </c>
      <c r="E63" s="136">
        <f t="shared" ref="E63" si="37">AVERAGE(E61:E62)</f>
        <v>0.97233003630900217</v>
      </c>
      <c r="F63" s="136">
        <f t="shared" ref="F63" si="38">AVERAGE(F61:F62)</f>
        <v>0.95617879053461863</v>
      </c>
      <c r="G63" s="136">
        <f t="shared" ref="G63" si="39">AVERAGE(G61:G62)</f>
        <v>1.0704895455114563</v>
      </c>
      <c r="H63" s="137"/>
      <c r="I63" s="137"/>
      <c r="J63" s="137"/>
      <c r="K63" s="138"/>
    </row>
    <row r="64" spans="1:11" ht="15" x14ac:dyDescent="0.3">
      <c r="A64" s="283"/>
      <c r="B64" s="128"/>
      <c r="C64" s="125"/>
      <c r="D64" s="125"/>
      <c r="E64" s="29"/>
      <c r="F64" s="29"/>
      <c r="G64" s="29"/>
      <c r="H64" s="29"/>
      <c r="I64" s="29"/>
    </row>
    <row r="65" spans="1:11" ht="15" x14ac:dyDescent="0.3">
      <c r="A65" s="283"/>
      <c r="B65" s="128"/>
      <c r="C65" s="125"/>
      <c r="D65" s="125"/>
      <c r="E65" s="29"/>
      <c r="F65" s="29"/>
      <c r="G65" s="29"/>
      <c r="H65" s="29"/>
      <c r="I65" s="29"/>
    </row>
    <row r="66" spans="1:11" ht="15" x14ac:dyDescent="0.3">
      <c r="A66" s="283"/>
      <c r="B66" s="128"/>
      <c r="C66" s="125"/>
      <c r="D66" s="125"/>
      <c r="E66" s="29"/>
      <c r="F66" s="29"/>
      <c r="G66" s="29"/>
      <c r="H66" s="29"/>
      <c r="I66" s="29"/>
    </row>
    <row r="67" spans="1:11" ht="15" x14ac:dyDescent="0.3">
      <c r="A67" s="283"/>
      <c r="B67" s="128"/>
      <c r="C67" s="125"/>
      <c r="D67" s="125"/>
      <c r="E67" s="29"/>
      <c r="F67" s="29"/>
      <c r="G67" s="29"/>
      <c r="H67" s="29"/>
      <c r="I67" s="29"/>
    </row>
    <row r="68" spans="1:11" ht="15" x14ac:dyDescent="0.3">
      <c r="A68" s="283"/>
      <c r="B68" s="128"/>
      <c r="C68" s="125"/>
      <c r="D68" s="125"/>
      <c r="E68" s="29"/>
      <c r="F68" s="29"/>
      <c r="G68" s="29"/>
      <c r="H68" s="29"/>
      <c r="I68" s="29"/>
    </row>
    <row r="69" spans="1:11" ht="15.75" customHeight="1" x14ac:dyDescent="0.35">
      <c r="A69" s="54"/>
      <c r="B69" s="285"/>
      <c r="C69" s="126"/>
      <c r="D69" s="160"/>
      <c r="E69" s="160"/>
      <c r="F69" s="126"/>
      <c r="G69" s="126"/>
      <c r="H69" s="126"/>
      <c r="I69" s="160"/>
      <c r="J69" s="126"/>
      <c r="K69" s="126"/>
    </row>
    <row r="70" spans="1:11" ht="15" x14ac:dyDescent="0.3">
      <c r="A70" s="283"/>
      <c r="B70" s="285"/>
      <c r="C70" s="126"/>
      <c r="D70" s="130"/>
      <c r="E70" s="130"/>
      <c r="F70" s="126"/>
      <c r="G70" s="126"/>
      <c r="H70" s="126"/>
      <c r="I70" s="130"/>
      <c r="J70" s="126"/>
      <c r="K70" s="126"/>
    </row>
    <row r="71" spans="1:11" ht="15.5" x14ac:dyDescent="0.3">
      <c r="A71" s="283"/>
      <c r="B71" s="285"/>
      <c r="C71" s="160"/>
      <c r="D71" s="130"/>
      <c r="E71" s="130"/>
      <c r="F71" s="126"/>
      <c r="G71" s="126"/>
      <c r="H71" s="126"/>
      <c r="I71" s="130"/>
      <c r="J71" s="126"/>
      <c r="K71" s="126"/>
    </row>
    <row r="72" spans="1:11" ht="15.5" x14ac:dyDescent="0.3">
      <c r="A72" s="283"/>
      <c r="B72" s="285"/>
      <c r="C72" s="126"/>
      <c r="D72" s="160"/>
      <c r="E72" s="160"/>
      <c r="F72" s="160"/>
      <c r="G72" s="160"/>
      <c r="H72" s="160"/>
      <c r="I72" s="160"/>
      <c r="J72" s="160"/>
      <c r="K72" s="160"/>
    </row>
    <row r="73" spans="1:11" ht="15.5" x14ac:dyDescent="0.3">
      <c r="A73" s="283"/>
      <c r="B73" s="285"/>
      <c r="C73" s="160"/>
      <c r="D73" s="161"/>
      <c r="E73" s="161"/>
      <c r="F73" s="161"/>
      <c r="G73" s="161"/>
      <c r="H73" s="130"/>
      <c r="I73" s="130"/>
      <c r="J73" s="130"/>
      <c r="K73" s="130"/>
    </row>
    <row r="74" spans="1:11" ht="15.5" x14ac:dyDescent="0.3">
      <c r="A74" s="283"/>
      <c r="B74" s="285"/>
      <c r="C74" s="160"/>
      <c r="D74" s="161"/>
      <c r="E74" s="161"/>
      <c r="F74" s="161"/>
      <c r="G74" s="161"/>
      <c r="H74" s="126"/>
      <c r="I74" s="126"/>
      <c r="J74" s="126"/>
      <c r="K74" s="126"/>
    </row>
    <row r="75" spans="1:11" ht="15.5" x14ac:dyDescent="0.3">
      <c r="A75" s="283"/>
      <c r="B75" s="285"/>
      <c r="C75" s="160"/>
      <c r="D75" s="161"/>
      <c r="E75" s="161"/>
      <c r="F75" s="161"/>
      <c r="G75" s="161"/>
      <c r="H75" s="126"/>
      <c r="I75" s="126"/>
      <c r="J75" s="126"/>
      <c r="K75" s="126"/>
    </row>
    <row r="76" spans="1:11" ht="15" x14ac:dyDescent="0.3">
      <c r="A76" s="283"/>
      <c r="B76" s="128"/>
      <c r="C76" s="126"/>
      <c r="D76" s="126"/>
      <c r="E76" s="29"/>
      <c r="F76" s="29"/>
      <c r="G76" s="29"/>
      <c r="H76" s="29"/>
      <c r="I76" s="29"/>
      <c r="J76" s="29"/>
      <c r="K76" s="29"/>
    </row>
    <row r="77" spans="1:11" ht="15" x14ac:dyDescent="0.3">
      <c r="A77" s="283"/>
      <c r="B77" s="128"/>
      <c r="C77" s="126"/>
      <c r="D77" s="126"/>
      <c r="E77" s="29"/>
      <c r="F77" s="29"/>
      <c r="G77" s="29"/>
      <c r="H77" s="29"/>
      <c r="I77" s="29"/>
      <c r="J77" s="29"/>
      <c r="K77" s="29"/>
    </row>
    <row r="78" spans="1:11" ht="15" x14ac:dyDescent="0.3">
      <c r="A78" s="131"/>
      <c r="B78" s="128"/>
      <c r="C78" s="126"/>
      <c r="D78" s="126"/>
      <c r="E78" s="29"/>
      <c r="F78" s="29"/>
      <c r="G78" s="29"/>
      <c r="H78" s="29"/>
      <c r="I78" s="29"/>
      <c r="J78" s="29"/>
      <c r="K78" s="29"/>
    </row>
    <row r="79" spans="1:11" x14ac:dyDescent="0.3">
      <c r="A79" s="29"/>
      <c r="B79" s="29"/>
      <c r="C79" s="29"/>
      <c r="D79" s="29"/>
      <c r="E79" s="29"/>
      <c r="F79" s="29"/>
      <c r="G79" s="29"/>
      <c r="H79" s="29"/>
      <c r="I79" s="29"/>
      <c r="J79" s="29"/>
      <c r="K79" s="29"/>
    </row>
    <row r="80" spans="1:11" ht="14.5" x14ac:dyDescent="0.35">
      <c r="A80" s="284"/>
      <c r="B80" s="284"/>
      <c r="C80" s="284"/>
      <c r="D80" s="54"/>
      <c r="E80" s="29"/>
      <c r="F80" s="29"/>
      <c r="G80" s="29"/>
      <c r="H80" s="29"/>
      <c r="I80" s="29"/>
      <c r="J80" s="29"/>
      <c r="K80" s="29"/>
    </row>
    <row r="81" spans="1:11" ht="15.5" x14ac:dyDescent="0.35">
      <c r="A81" s="54"/>
      <c r="B81" s="285"/>
      <c r="C81" s="126"/>
      <c r="D81" s="160"/>
      <c r="E81" s="160"/>
      <c r="F81" s="126"/>
      <c r="G81" s="126"/>
      <c r="H81" s="126"/>
      <c r="I81" s="160"/>
      <c r="J81" s="126"/>
      <c r="K81" s="126"/>
    </row>
    <row r="82" spans="1:11" ht="15" x14ac:dyDescent="0.3">
      <c r="A82" s="283"/>
      <c r="B82" s="285"/>
      <c r="C82" s="126"/>
      <c r="D82" s="130"/>
      <c r="E82" s="130"/>
      <c r="F82" s="126"/>
      <c r="G82" s="126"/>
      <c r="H82" s="126"/>
      <c r="I82" s="130"/>
      <c r="J82" s="126"/>
      <c r="K82" s="126"/>
    </row>
    <row r="83" spans="1:11" ht="15.5" x14ac:dyDescent="0.3">
      <c r="A83" s="283"/>
      <c r="B83" s="285"/>
      <c r="C83" s="160"/>
      <c r="D83" s="130"/>
      <c r="E83" s="130"/>
      <c r="F83" s="126"/>
      <c r="G83" s="126"/>
      <c r="H83" s="126"/>
      <c r="I83" s="130"/>
      <c r="J83" s="126"/>
      <c r="K83" s="126"/>
    </row>
    <row r="84" spans="1:11" ht="15.5" x14ac:dyDescent="0.3">
      <c r="A84" s="283"/>
      <c r="B84" s="285"/>
      <c r="C84" s="126"/>
      <c r="D84" s="160"/>
      <c r="E84" s="160"/>
      <c r="F84" s="160"/>
      <c r="G84" s="160"/>
      <c r="H84" s="160"/>
      <c r="I84" s="160"/>
      <c r="J84" s="160"/>
      <c r="K84" s="160"/>
    </row>
    <row r="85" spans="1:11" ht="15.5" x14ac:dyDescent="0.3">
      <c r="A85" s="283"/>
      <c r="B85" s="285"/>
      <c r="C85" s="160"/>
      <c r="D85" s="161"/>
      <c r="E85" s="161"/>
      <c r="F85" s="161"/>
      <c r="G85" s="161"/>
      <c r="H85" s="130"/>
      <c r="I85" s="130"/>
      <c r="J85" s="130"/>
      <c r="K85" s="130"/>
    </row>
    <row r="86" spans="1:11" ht="15.5" x14ac:dyDescent="0.3">
      <c r="A86" s="283"/>
      <c r="B86" s="285"/>
      <c r="C86" s="160"/>
      <c r="D86" s="161"/>
      <c r="E86" s="161"/>
      <c r="F86" s="161"/>
      <c r="G86" s="161"/>
      <c r="H86" s="126"/>
      <c r="I86" s="126"/>
      <c r="J86" s="126"/>
      <c r="K86" s="126"/>
    </row>
    <row r="87" spans="1:11" ht="15.5" x14ac:dyDescent="0.3">
      <c r="A87" s="283"/>
      <c r="B87" s="285"/>
      <c r="C87" s="160"/>
      <c r="D87" s="161"/>
      <c r="E87" s="161"/>
      <c r="F87" s="161"/>
      <c r="G87" s="161"/>
      <c r="H87" s="126"/>
      <c r="I87" s="126"/>
      <c r="J87" s="126"/>
      <c r="K87" s="126"/>
    </row>
    <row r="88" spans="1:11" ht="15" x14ac:dyDescent="0.3">
      <c r="A88" s="283"/>
      <c r="B88" s="128"/>
      <c r="C88" s="126"/>
      <c r="D88" s="126"/>
      <c r="E88" s="29"/>
      <c r="F88" s="29"/>
      <c r="G88" s="29"/>
      <c r="H88" s="29"/>
      <c r="I88" s="29"/>
      <c r="J88" s="29"/>
      <c r="K88" s="29"/>
    </row>
    <row r="89" spans="1:11" ht="15" x14ac:dyDescent="0.3">
      <c r="A89" s="283"/>
      <c r="B89" s="128"/>
      <c r="C89" s="126"/>
      <c r="D89" s="126"/>
      <c r="E89" s="29"/>
      <c r="F89" s="29"/>
      <c r="G89" s="29"/>
      <c r="H89" s="29"/>
      <c r="I89" s="29"/>
      <c r="J89" s="29"/>
      <c r="K89" s="29"/>
    </row>
    <row r="90" spans="1:11" ht="15" x14ac:dyDescent="0.3">
      <c r="A90" s="283"/>
      <c r="B90" s="128"/>
      <c r="C90" s="126"/>
      <c r="D90" s="126"/>
      <c r="E90" s="29"/>
      <c r="F90" s="29"/>
      <c r="G90" s="29"/>
      <c r="H90" s="29"/>
      <c r="I90" s="29"/>
    </row>
    <row r="91" spans="1:11" ht="15" x14ac:dyDescent="0.3">
      <c r="A91" s="283"/>
      <c r="B91" s="128"/>
      <c r="C91" s="126"/>
      <c r="D91" s="126"/>
      <c r="E91" s="29"/>
      <c r="F91" s="29"/>
      <c r="G91" s="29"/>
      <c r="H91" s="29"/>
      <c r="I91" s="29"/>
    </row>
    <row r="92" spans="1:11" ht="15" x14ac:dyDescent="0.3">
      <c r="A92" s="283"/>
      <c r="B92" s="128"/>
      <c r="C92" s="126"/>
      <c r="D92" s="126"/>
      <c r="E92" s="29"/>
      <c r="F92" s="29"/>
      <c r="G92" s="29"/>
      <c r="H92" s="29"/>
      <c r="I92" s="29"/>
    </row>
    <row r="93" spans="1:11" ht="15" x14ac:dyDescent="0.3">
      <c r="A93" s="283"/>
      <c r="B93" s="128"/>
      <c r="C93" s="126"/>
      <c r="D93" s="126"/>
      <c r="E93" s="29"/>
      <c r="F93" s="29"/>
      <c r="G93" s="29"/>
      <c r="H93" s="29"/>
      <c r="I93" s="29"/>
    </row>
    <row r="94" spans="1:11" ht="15.5" x14ac:dyDescent="0.3">
      <c r="A94" s="132"/>
      <c r="B94" s="128"/>
      <c r="C94" s="127"/>
      <c r="D94" s="127"/>
      <c r="E94" s="29"/>
      <c r="F94" s="29"/>
      <c r="G94" s="29"/>
      <c r="H94" s="29"/>
      <c r="I94" s="29"/>
    </row>
  </sheetData>
  <mergeCells count="27">
    <mergeCell ref="B25:B31"/>
    <mergeCell ref="A1:B1"/>
    <mergeCell ref="A2:E9"/>
    <mergeCell ref="A14:C14"/>
    <mergeCell ref="A16:A18"/>
    <mergeCell ref="A19:A22"/>
    <mergeCell ref="B16:B22"/>
    <mergeCell ref="A40:A43"/>
    <mergeCell ref="A44:A47"/>
    <mergeCell ref="A48:A51"/>
    <mergeCell ref="A52:A55"/>
    <mergeCell ref="B36:B42"/>
    <mergeCell ref="B46:B52"/>
    <mergeCell ref="A36:A39"/>
    <mergeCell ref="A56:C56"/>
    <mergeCell ref="A58:A61"/>
    <mergeCell ref="A62:A65"/>
    <mergeCell ref="A66:A68"/>
    <mergeCell ref="A70:A73"/>
    <mergeCell ref="B57:B63"/>
    <mergeCell ref="A74:A77"/>
    <mergeCell ref="A80:C80"/>
    <mergeCell ref="A82:A85"/>
    <mergeCell ref="A86:A89"/>
    <mergeCell ref="A90:A93"/>
    <mergeCell ref="B69:B75"/>
    <mergeCell ref="B81:B8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D58F-7F98-41AA-9E03-E783923E7746}">
  <dimension ref="A1:T138"/>
  <sheetViews>
    <sheetView topLeftCell="A127" zoomScale="110" zoomScaleNormal="110" workbookViewId="0">
      <selection activeCell="C29" sqref="C29"/>
    </sheetView>
  </sheetViews>
  <sheetFormatPr defaultRowHeight="14" x14ac:dyDescent="0.3"/>
  <cols>
    <col min="1" max="1" width="12.25" customWidth="1"/>
    <col min="2" max="2" width="14.5" customWidth="1"/>
    <col min="3" max="3" width="43.75" customWidth="1"/>
    <col min="4" max="4" width="17" customWidth="1"/>
    <col min="5" max="5" width="11.33203125" customWidth="1"/>
    <col min="6" max="6" width="13.75" customWidth="1"/>
    <col min="7" max="7" width="18.5" customWidth="1"/>
    <col min="8" max="8" width="12.83203125" customWidth="1"/>
    <col min="9" max="9" width="16.25" customWidth="1"/>
    <col min="10" max="10" width="14.58203125" customWidth="1"/>
    <col min="11" max="11" width="13.33203125" customWidth="1"/>
    <col min="12" max="12" width="16.75" customWidth="1"/>
    <col min="13" max="13" width="13" customWidth="1"/>
    <col min="14" max="14" width="11.83203125" customWidth="1"/>
    <col min="15" max="15" width="12.5" customWidth="1"/>
    <col min="16" max="16" width="12.75" customWidth="1"/>
    <col min="17" max="17" width="14" customWidth="1"/>
    <col min="18" max="18" width="13.5" customWidth="1"/>
    <col min="19" max="19" width="12" customWidth="1"/>
    <col min="20" max="20" width="12.75" customWidth="1"/>
  </cols>
  <sheetData>
    <row r="1" spans="1:20" ht="15.5" x14ac:dyDescent="0.35">
      <c r="A1" s="267"/>
      <c r="B1" s="268"/>
      <c r="F1" s="6" t="s">
        <v>14</v>
      </c>
      <c r="G1" s="6"/>
      <c r="H1" s="6" t="s">
        <v>35</v>
      </c>
      <c r="I1" s="7" t="s">
        <v>85</v>
      </c>
      <c r="J1" s="7" t="s">
        <v>17</v>
      </c>
      <c r="K1" s="7" t="s">
        <v>18</v>
      </c>
      <c r="L1" s="7" t="s">
        <v>19</v>
      </c>
      <c r="M1" s="7" t="s">
        <v>20</v>
      </c>
      <c r="N1" s="7" t="s">
        <v>21</v>
      </c>
      <c r="O1" s="7" t="s">
        <v>22</v>
      </c>
      <c r="P1" s="7" t="s">
        <v>23</v>
      </c>
      <c r="Q1" s="7" t="s">
        <v>28</v>
      </c>
      <c r="R1" s="7" t="s">
        <v>26</v>
      </c>
      <c r="S1" s="7" t="s">
        <v>29</v>
      </c>
      <c r="T1" s="7" t="s">
        <v>30</v>
      </c>
    </row>
    <row r="2" spans="1:20" ht="15" x14ac:dyDescent="0.3">
      <c r="A2" s="269" t="s">
        <v>60</v>
      </c>
      <c r="B2" s="269"/>
      <c r="C2" s="269"/>
      <c r="D2" s="269"/>
      <c r="F2" s="7" t="s">
        <v>0</v>
      </c>
      <c r="G2" s="8" t="s">
        <v>1</v>
      </c>
      <c r="H2" s="9">
        <v>250000</v>
      </c>
      <c r="I2" s="9">
        <v>50000</v>
      </c>
      <c r="J2" s="9">
        <v>55000</v>
      </c>
      <c r="K2" s="9">
        <v>45000</v>
      </c>
      <c r="L2" s="9">
        <v>60000</v>
      </c>
      <c r="M2" s="9">
        <v>50000</v>
      </c>
      <c r="N2" s="9">
        <v>55000</v>
      </c>
      <c r="O2" s="9">
        <v>45000</v>
      </c>
      <c r="P2" s="9">
        <v>60000</v>
      </c>
      <c r="Q2" s="10">
        <f>'Seasonal Forcast for 2024'!R2</f>
        <v>60000</v>
      </c>
      <c r="R2" s="10">
        <f>'Seasonal Forcast for 2024'!S2</f>
        <v>66000</v>
      </c>
      <c r="S2" s="10">
        <f>'Seasonal Forcast for 2024'!T2</f>
        <v>54000</v>
      </c>
      <c r="T2" s="10">
        <f>'Seasonal Forcast for 2024'!U2</f>
        <v>72000</v>
      </c>
    </row>
    <row r="3" spans="1:20" ht="15" x14ac:dyDescent="0.3">
      <c r="A3" s="269"/>
      <c r="B3" s="269"/>
      <c r="C3" s="269"/>
      <c r="D3" s="269"/>
      <c r="F3" s="7" t="s">
        <v>2</v>
      </c>
      <c r="G3" s="8" t="s">
        <v>1</v>
      </c>
      <c r="H3" s="9">
        <v>100000</v>
      </c>
      <c r="I3" s="9">
        <v>20000</v>
      </c>
      <c r="J3" s="9">
        <v>22000</v>
      </c>
      <c r="K3" s="9">
        <f>18000</f>
        <v>18000</v>
      </c>
      <c r="L3" s="9">
        <f>25000</f>
        <v>25000</v>
      </c>
      <c r="M3" s="9">
        <v>22000</v>
      </c>
      <c r="N3" s="9">
        <v>25000</v>
      </c>
      <c r="O3" s="9">
        <v>20000</v>
      </c>
      <c r="P3" s="9">
        <v>28000</v>
      </c>
      <c r="Q3" s="10">
        <f>'Seasonal Forcast for 2024'!R3</f>
        <v>26611.764705882353</v>
      </c>
      <c r="R3" s="10">
        <f>'Seasonal Forcast for 2024'!S3</f>
        <v>29752.941176470587</v>
      </c>
      <c r="S3" s="10">
        <f>'Seasonal Forcast for 2024'!T3</f>
        <v>24070.588235294119</v>
      </c>
      <c r="T3" s="10">
        <f>'Seasonal Forcast for 2024'!U3</f>
        <v>33564.705882352937</v>
      </c>
    </row>
    <row r="4" spans="1:20" ht="15" x14ac:dyDescent="0.3">
      <c r="A4" s="269"/>
      <c r="B4" s="269"/>
      <c r="C4" s="269"/>
      <c r="D4" s="269"/>
      <c r="F4" s="7" t="s">
        <v>4</v>
      </c>
      <c r="G4" s="8" t="s">
        <v>1</v>
      </c>
      <c r="H4" s="9">
        <v>25000</v>
      </c>
      <c r="I4" s="9">
        <v>5000</v>
      </c>
      <c r="J4" s="9">
        <v>6000</v>
      </c>
      <c r="K4" s="9">
        <v>4000</v>
      </c>
      <c r="L4" s="9">
        <v>8000</v>
      </c>
      <c r="M4" s="9">
        <v>9000</v>
      </c>
      <c r="N4" s="9">
        <v>10000</v>
      </c>
      <c r="O4" s="9">
        <v>8000</v>
      </c>
      <c r="P4" s="9">
        <v>15000</v>
      </c>
      <c r="Q4" s="10">
        <f>'Seasonal Forcast for 2024'!R4</f>
        <v>10878.260869565216</v>
      </c>
      <c r="R4" s="10">
        <f>'Seasonal Forcast for 2024'!S4</f>
        <v>12573.91304347826</v>
      </c>
      <c r="S4" s="10">
        <f>'Seasonal Forcast for 2024'!T4</f>
        <v>9182.608695652174</v>
      </c>
      <c r="T4" s="10">
        <f>'Seasonal Forcast for 2024'!U4</f>
        <v>17765.217391304348</v>
      </c>
    </row>
    <row r="5" spans="1:20" ht="15" x14ac:dyDescent="0.3">
      <c r="A5" s="269"/>
      <c r="B5" s="269"/>
      <c r="C5" s="269"/>
      <c r="D5" s="269"/>
      <c r="F5" s="7" t="s">
        <v>9</v>
      </c>
      <c r="G5" s="8" t="s">
        <v>1</v>
      </c>
      <c r="H5" s="12">
        <v>150000</v>
      </c>
      <c r="I5" s="12">
        <v>15000</v>
      </c>
      <c r="J5" s="12">
        <v>15500</v>
      </c>
      <c r="K5" s="12">
        <v>13000</v>
      </c>
      <c r="L5" s="12">
        <v>18000</v>
      </c>
      <c r="M5" s="12">
        <v>16000</v>
      </c>
      <c r="N5" s="12">
        <v>18000</v>
      </c>
      <c r="O5" s="12">
        <v>15000</v>
      </c>
      <c r="P5" s="12">
        <v>20000</v>
      </c>
      <c r="Q5" s="13">
        <f>'Seasonal Forcast for 2024'!R5</f>
        <v>19697.560975609758</v>
      </c>
      <c r="R5" s="13">
        <f>'Seasonal Forcast for 2024'!S5</f>
        <v>21234.146341463413</v>
      </c>
      <c r="S5" s="13">
        <f>'Seasonal Forcast for 2024'!T5</f>
        <v>17751.219512195123</v>
      </c>
      <c r="T5" s="13">
        <f>'Seasonal Forcast for 2024'!U5</f>
        <v>24117.073170731706</v>
      </c>
    </row>
    <row r="6" spans="1:20" ht="15" x14ac:dyDescent="0.3">
      <c r="A6" s="269"/>
      <c r="B6" s="269"/>
      <c r="C6" s="269"/>
      <c r="D6" s="269"/>
      <c r="F6" s="7"/>
      <c r="G6" s="8" t="s">
        <v>33</v>
      </c>
      <c r="H6" s="8">
        <v>4.8</v>
      </c>
      <c r="I6" s="8">
        <v>4.8</v>
      </c>
      <c r="J6" s="8">
        <v>4.8499999999999996</v>
      </c>
      <c r="K6" s="8">
        <v>4.8</v>
      </c>
      <c r="L6" s="8">
        <v>4.75</v>
      </c>
      <c r="M6" s="8">
        <v>4.7</v>
      </c>
      <c r="N6" s="8">
        <v>4.68</v>
      </c>
      <c r="O6" s="8">
        <v>4.5999999999999996</v>
      </c>
      <c r="P6" s="8">
        <v>4.59</v>
      </c>
      <c r="Q6" s="8">
        <v>4.5</v>
      </c>
      <c r="R6" s="8">
        <v>4.5</v>
      </c>
      <c r="S6" s="8">
        <v>4.5</v>
      </c>
      <c r="T6" s="8">
        <v>4.5</v>
      </c>
    </row>
    <row r="7" spans="1:20" ht="15" x14ac:dyDescent="0.3">
      <c r="A7" s="269"/>
      <c r="B7" s="269"/>
      <c r="C7" s="269"/>
      <c r="D7" s="269"/>
      <c r="F7" s="7"/>
      <c r="G7" s="8" t="s">
        <v>3</v>
      </c>
      <c r="H7" s="9">
        <f>H5*H6</f>
        <v>720000</v>
      </c>
      <c r="I7" s="9">
        <f>I5*I6</f>
        <v>72000</v>
      </c>
      <c r="J7" s="9">
        <f t="shared" ref="J7:P7" si="0">J5*J6</f>
        <v>75175</v>
      </c>
      <c r="K7" s="9">
        <f t="shared" si="0"/>
        <v>62400</v>
      </c>
      <c r="L7" s="9">
        <f t="shared" si="0"/>
        <v>85500</v>
      </c>
      <c r="M7" s="9">
        <f t="shared" si="0"/>
        <v>75200</v>
      </c>
      <c r="N7" s="9">
        <f t="shared" si="0"/>
        <v>84240</v>
      </c>
      <c r="O7" s="9">
        <f t="shared" si="0"/>
        <v>69000</v>
      </c>
      <c r="P7" s="9">
        <f t="shared" si="0"/>
        <v>91800</v>
      </c>
      <c r="Q7" s="10">
        <f>Q5*Q6</f>
        <v>88639.024390243911</v>
      </c>
      <c r="R7" s="10">
        <f t="shared" ref="R7:T7" si="1">R5*R6</f>
        <v>95553.658536585353</v>
      </c>
      <c r="S7" s="10">
        <f t="shared" si="1"/>
        <v>79880.487804878052</v>
      </c>
      <c r="T7" s="10">
        <f t="shared" si="1"/>
        <v>108526.82926829268</v>
      </c>
    </row>
    <row r="8" spans="1:20" ht="15" x14ac:dyDescent="0.3">
      <c r="A8" s="269"/>
      <c r="B8" s="269"/>
      <c r="C8" s="269"/>
      <c r="D8" s="269"/>
      <c r="F8" s="7" t="s">
        <v>10</v>
      </c>
      <c r="G8" s="8" t="s">
        <v>1</v>
      </c>
      <c r="H8" s="14">
        <v>100000</v>
      </c>
      <c r="I8" s="14">
        <v>200000</v>
      </c>
      <c r="J8" s="14">
        <v>180000</v>
      </c>
      <c r="K8" s="14">
        <v>215000</v>
      </c>
      <c r="L8" s="14">
        <v>220000</v>
      </c>
      <c r="M8" s="14">
        <v>250000</v>
      </c>
      <c r="N8" s="14">
        <v>260000</v>
      </c>
      <c r="O8" s="14">
        <v>210000</v>
      </c>
      <c r="P8" s="14">
        <v>260000</v>
      </c>
      <c r="Q8" s="15">
        <f>'Seasonal Forcast for 2024'!R8</f>
        <v>294294.47852760734</v>
      </c>
      <c r="R8" s="15">
        <f>'Seasonal Forcast for 2024'!S8</f>
        <v>285865.03067484661</v>
      </c>
      <c r="S8" s="15">
        <f>'Seasonal Forcast for 2024'!T8</f>
        <v>281116.56441717787</v>
      </c>
      <c r="T8" s="15">
        <f>'Seasonal Forcast for 2024'!U8</f>
        <v>314723.92638036812</v>
      </c>
    </row>
    <row r="9" spans="1:20" ht="15" x14ac:dyDescent="0.3">
      <c r="A9" s="269"/>
      <c r="B9" s="269"/>
      <c r="C9" s="269"/>
      <c r="D9" s="269"/>
      <c r="F9" s="7"/>
      <c r="G9" s="8" t="s">
        <v>34</v>
      </c>
      <c r="H9" s="8">
        <v>1.7</v>
      </c>
      <c r="I9" s="8">
        <v>1.7</v>
      </c>
      <c r="J9" s="8">
        <v>1.78</v>
      </c>
      <c r="K9" s="8">
        <v>1.8</v>
      </c>
      <c r="L9" s="8">
        <v>1.81</v>
      </c>
      <c r="M9" s="8">
        <v>1.78</v>
      </c>
      <c r="N9" s="8">
        <v>1.7</v>
      </c>
      <c r="O9" s="8">
        <v>1.6</v>
      </c>
      <c r="P9" s="8">
        <v>1.53</v>
      </c>
      <c r="Q9" s="8">
        <v>1.5</v>
      </c>
      <c r="R9" s="8">
        <v>1.48</v>
      </c>
      <c r="S9" s="8">
        <v>1.46</v>
      </c>
      <c r="T9" s="8">
        <v>1.45</v>
      </c>
    </row>
    <row r="10" spans="1:20" ht="15" x14ac:dyDescent="0.3">
      <c r="B10" s="25"/>
      <c r="F10" s="7"/>
      <c r="G10" s="8" t="s">
        <v>3</v>
      </c>
      <c r="H10" s="8"/>
      <c r="I10" s="24">
        <f>I8*I9</f>
        <v>340000</v>
      </c>
      <c r="J10" s="24">
        <f t="shared" ref="J10:P10" si="2">J8*J9</f>
        <v>320400</v>
      </c>
      <c r="K10" s="24">
        <f t="shared" si="2"/>
        <v>387000</v>
      </c>
      <c r="L10" s="24">
        <f t="shared" si="2"/>
        <v>398200</v>
      </c>
      <c r="M10" s="24">
        <f t="shared" si="2"/>
        <v>445000</v>
      </c>
      <c r="N10" s="24">
        <f t="shared" si="2"/>
        <v>442000</v>
      </c>
      <c r="O10" s="24">
        <f t="shared" si="2"/>
        <v>336000</v>
      </c>
      <c r="P10" s="24">
        <f t="shared" si="2"/>
        <v>397800</v>
      </c>
      <c r="Q10" s="10">
        <f>Q8*Q9</f>
        <v>441441.71779141098</v>
      </c>
      <c r="R10" s="10">
        <f t="shared" ref="R10:T10" si="3">R8*R9</f>
        <v>423080.245398773</v>
      </c>
      <c r="S10" s="10">
        <f t="shared" si="3"/>
        <v>410430.18404907966</v>
      </c>
      <c r="T10" s="10">
        <f t="shared" si="3"/>
        <v>456349.69325153378</v>
      </c>
    </row>
    <row r="11" spans="1:20" ht="14.5" x14ac:dyDescent="0.35">
      <c r="B11" s="25"/>
      <c r="D11" s="27"/>
    </row>
    <row r="12" spans="1:20" x14ac:dyDescent="0.3">
      <c r="B12" s="25"/>
    </row>
    <row r="13" spans="1:20" x14ac:dyDescent="0.3">
      <c r="A13" s="30"/>
      <c r="B13" s="32"/>
      <c r="C13" s="30"/>
    </row>
    <row r="14" spans="1:20" ht="14.5" x14ac:dyDescent="0.35">
      <c r="A14" s="270" t="s">
        <v>0</v>
      </c>
      <c r="B14" s="270"/>
      <c r="C14" s="271"/>
    </row>
    <row r="15" spans="1:20" s="29" customFormat="1" ht="14.5" x14ac:dyDescent="0.35">
      <c r="A15" s="31" t="s">
        <v>53</v>
      </c>
      <c r="B15" s="31" t="s">
        <v>54</v>
      </c>
      <c r="C15" s="31" t="s">
        <v>55</v>
      </c>
    </row>
    <row r="16" spans="1:20" ht="15" x14ac:dyDescent="0.3">
      <c r="A16" s="262" t="s">
        <v>49</v>
      </c>
      <c r="B16" s="37">
        <v>44681</v>
      </c>
      <c r="C16" s="33">
        <v>50000</v>
      </c>
    </row>
    <row r="17" spans="1:3" ht="15" x14ac:dyDescent="0.3">
      <c r="A17" s="263"/>
      <c r="B17" s="38">
        <v>44773</v>
      </c>
      <c r="C17" s="34">
        <v>55000</v>
      </c>
    </row>
    <row r="18" spans="1:3" ht="15" x14ac:dyDescent="0.3">
      <c r="A18" s="263"/>
      <c r="B18" s="38">
        <v>44865</v>
      </c>
      <c r="C18" s="34">
        <v>45000</v>
      </c>
    </row>
    <row r="19" spans="1:3" ht="15" x14ac:dyDescent="0.3">
      <c r="A19" s="264"/>
      <c r="B19" s="38">
        <v>44957</v>
      </c>
      <c r="C19" s="35">
        <v>60000</v>
      </c>
    </row>
    <row r="20" spans="1:3" ht="15" x14ac:dyDescent="0.3">
      <c r="A20" s="262" t="s">
        <v>50</v>
      </c>
      <c r="B20" s="37">
        <v>45046</v>
      </c>
      <c r="C20" s="34">
        <v>50000</v>
      </c>
    </row>
    <row r="21" spans="1:3" ht="15" x14ac:dyDescent="0.3">
      <c r="A21" s="263"/>
      <c r="B21" s="38">
        <v>45138</v>
      </c>
      <c r="C21" s="34">
        <v>55000</v>
      </c>
    </row>
    <row r="22" spans="1:3" ht="15" x14ac:dyDescent="0.3">
      <c r="A22" s="263"/>
      <c r="B22" s="38">
        <v>45230</v>
      </c>
      <c r="C22" s="34">
        <v>45000</v>
      </c>
    </row>
    <row r="23" spans="1:3" ht="15" x14ac:dyDescent="0.3">
      <c r="A23" s="264"/>
      <c r="B23" s="38">
        <v>45322</v>
      </c>
      <c r="C23" s="35">
        <v>60000</v>
      </c>
    </row>
    <row r="24" spans="1:3" ht="15" x14ac:dyDescent="0.3">
      <c r="A24" s="262" t="s">
        <v>51</v>
      </c>
      <c r="B24" s="37">
        <v>45412</v>
      </c>
      <c r="C24" s="36">
        <f>Q2</f>
        <v>60000</v>
      </c>
    </row>
    <row r="25" spans="1:3" ht="15" x14ac:dyDescent="0.3">
      <c r="A25" s="263"/>
      <c r="B25" s="38">
        <v>45504</v>
      </c>
      <c r="C25" s="36">
        <f>R2</f>
        <v>66000</v>
      </c>
    </row>
    <row r="26" spans="1:3" ht="15" x14ac:dyDescent="0.3">
      <c r="A26" s="263"/>
      <c r="B26" s="38">
        <v>45596</v>
      </c>
      <c r="C26" s="36">
        <f>S2</f>
        <v>54000</v>
      </c>
    </row>
    <row r="27" spans="1:3" ht="15" x14ac:dyDescent="0.3">
      <c r="A27" s="264"/>
      <c r="B27" s="38">
        <v>45688</v>
      </c>
      <c r="C27" s="171">
        <f>T2</f>
        <v>72000</v>
      </c>
    </row>
    <row r="28" spans="1:3" ht="15.5" x14ac:dyDescent="0.35">
      <c r="A28" s="262" t="s">
        <v>52</v>
      </c>
      <c r="B28" s="37">
        <v>45777</v>
      </c>
      <c r="C28" s="179">
        <f>'Project-A'!C14</f>
        <v>58506.015362384955</v>
      </c>
    </row>
    <row r="29" spans="1:3" ht="15.5" x14ac:dyDescent="0.35">
      <c r="A29" s="263"/>
      <c r="B29" s="38">
        <v>45869</v>
      </c>
      <c r="C29" s="180">
        <f>'Project-A'!C15</f>
        <v>66938.847732238864</v>
      </c>
    </row>
    <row r="30" spans="1:3" ht="15.5" x14ac:dyDescent="0.35">
      <c r="A30" s="264"/>
      <c r="B30" s="44">
        <v>45961</v>
      </c>
      <c r="C30" s="181">
        <f>'Project-A'!C16</f>
        <v>60355.007129024169</v>
      </c>
    </row>
    <row r="31" spans="1:3" ht="14.5" x14ac:dyDescent="0.3">
      <c r="A31" s="42"/>
      <c r="B31" s="40"/>
      <c r="C31" s="41"/>
    </row>
    <row r="32" spans="1:3" ht="14.5" x14ac:dyDescent="0.35">
      <c r="A32" s="270" t="s">
        <v>2</v>
      </c>
      <c r="B32" s="270"/>
      <c r="C32" s="271"/>
    </row>
    <row r="33" spans="1:20" ht="14.5" x14ac:dyDescent="0.35">
      <c r="A33" s="31" t="s">
        <v>53</v>
      </c>
      <c r="B33" s="31" t="s">
        <v>54</v>
      </c>
      <c r="C33" s="31" t="s">
        <v>55</v>
      </c>
      <c r="D33" s="39"/>
    </row>
    <row r="34" spans="1:20" ht="15" x14ac:dyDescent="0.3">
      <c r="A34" s="262" t="s">
        <v>49</v>
      </c>
      <c r="B34" s="37">
        <v>44681</v>
      </c>
      <c r="C34" s="9">
        <v>20000</v>
      </c>
    </row>
    <row r="35" spans="1:20" ht="15" x14ac:dyDescent="0.3">
      <c r="A35" s="263"/>
      <c r="B35" s="38">
        <v>44773</v>
      </c>
      <c r="C35" s="9">
        <v>22000</v>
      </c>
    </row>
    <row r="36" spans="1:20" ht="15" x14ac:dyDescent="0.3">
      <c r="A36" s="263"/>
      <c r="B36" s="38">
        <v>44865</v>
      </c>
      <c r="C36" s="9">
        <f>18000</f>
        <v>18000</v>
      </c>
    </row>
    <row r="37" spans="1:20" ht="15" x14ac:dyDescent="0.3">
      <c r="A37" s="264"/>
      <c r="B37" s="38">
        <v>44957</v>
      </c>
      <c r="C37" s="9">
        <f>25000</f>
        <v>25000</v>
      </c>
      <c r="M37" s="5"/>
      <c r="N37" s="5"/>
      <c r="O37" s="5"/>
      <c r="P37" s="5"/>
      <c r="Q37" s="5"/>
      <c r="R37" s="5"/>
      <c r="S37" s="5"/>
      <c r="T37" s="5"/>
    </row>
    <row r="38" spans="1:20" ht="15" x14ac:dyDescent="0.3">
      <c r="A38" s="262" t="s">
        <v>50</v>
      </c>
      <c r="B38" s="37">
        <v>45046</v>
      </c>
      <c r="C38" s="9">
        <v>22000</v>
      </c>
      <c r="L38" s="2"/>
      <c r="M38" s="28"/>
      <c r="N38" s="28"/>
      <c r="O38" s="28"/>
      <c r="P38" s="28"/>
      <c r="Q38" s="28"/>
      <c r="R38" s="28"/>
      <c r="S38" s="28"/>
      <c r="T38" s="28"/>
    </row>
    <row r="39" spans="1:20" ht="15" x14ac:dyDescent="0.3">
      <c r="A39" s="263"/>
      <c r="B39" s="38">
        <v>45138</v>
      </c>
      <c r="C39" s="9">
        <v>25000</v>
      </c>
      <c r="L39" s="2"/>
      <c r="M39" s="28"/>
      <c r="N39" s="28"/>
      <c r="O39" s="28"/>
      <c r="P39" s="28"/>
      <c r="Q39" s="28"/>
      <c r="R39" s="28"/>
      <c r="S39" s="28"/>
      <c r="T39" s="28"/>
    </row>
    <row r="40" spans="1:20" ht="15" x14ac:dyDescent="0.3">
      <c r="A40" s="263"/>
      <c r="B40" s="38">
        <v>45230</v>
      </c>
      <c r="C40" s="9">
        <v>20000</v>
      </c>
      <c r="L40" s="2"/>
      <c r="M40" s="28"/>
      <c r="N40" s="28"/>
      <c r="O40" s="28"/>
      <c r="P40" s="28"/>
      <c r="Q40" s="28"/>
      <c r="R40" s="28"/>
      <c r="S40" s="28"/>
      <c r="T40" s="28"/>
    </row>
    <row r="41" spans="1:20" ht="15" x14ac:dyDescent="0.3">
      <c r="A41" s="264"/>
      <c r="B41" s="38">
        <v>45322</v>
      </c>
      <c r="C41" s="9">
        <v>28000</v>
      </c>
    </row>
    <row r="42" spans="1:20" ht="15" x14ac:dyDescent="0.3">
      <c r="A42" s="262" t="s">
        <v>51</v>
      </c>
      <c r="B42" s="37">
        <v>45412</v>
      </c>
      <c r="C42" s="10">
        <f>Q3</f>
        <v>26611.764705882353</v>
      </c>
    </row>
    <row r="43" spans="1:20" ht="15" x14ac:dyDescent="0.3">
      <c r="A43" s="263"/>
      <c r="B43" s="38">
        <v>45504</v>
      </c>
      <c r="C43" s="10">
        <f>R3</f>
        <v>29752.941176470587</v>
      </c>
    </row>
    <row r="44" spans="1:20" ht="15" x14ac:dyDescent="0.3">
      <c r="A44" s="263"/>
      <c r="B44" s="38">
        <v>45596</v>
      </c>
      <c r="C44" s="10">
        <f>S3</f>
        <v>24070.588235294119</v>
      </c>
    </row>
    <row r="45" spans="1:20" ht="15" x14ac:dyDescent="0.3">
      <c r="A45" s="264"/>
      <c r="B45" s="44">
        <v>45688</v>
      </c>
      <c r="C45" s="10">
        <f>T3</f>
        <v>33564.705882352937</v>
      </c>
    </row>
    <row r="46" spans="1:20" ht="15.5" x14ac:dyDescent="0.35">
      <c r="A46" s="262" t="s">
        <v>52</v>
      </c>
      <c r="B46" s="37">
        <v>45777</v>
      </c>
      <c r="C46" s="179">
        <f>'Project-B'!C14</f>
        <v>27640.022785260568</v>
      </c>
    </row>
    <row r="47" spans="1:20" ht="15.5" x14ac:dyDescent="0.35">
      <c r="A47" s="263"/>
      <c r="B47" s="38">
        <v>45869</v>
      </c>
      <c r="C47" s="180">
        <f>'Project-B'!C15</f>
        <v>31657.681026115766</v>
      </c>
    </row>
    <row r="48" spans="1:20" ht="15.5" x14ac:dyDescent="0.35">
      <c r="A48" s="264"/>
      <c r="B48" s="44">
        <v>45961</v>
      </c>
      <c r="C48" s="181">
        <f>'Project-B'!C16</f>
        <v>29098.375116790758</v>
      </c>
    </row>
    <row r="50" spans="1:3" ht="14.5" x14ac:dyDescent="0.35">
      <c r="A50" s="270" t="s">
        <v>4</v>
      </c>
      <c r="B50" s="270"/>
      <c r="C50" s="271"/>
    </row>
    <row r="51" spans="1:3" ht="14.5" x14ac:dyDescent="0.35">
      <c r="A51" s="31" t="s">
        <v>53</v>
      </c>
      <c r="B51" s="31" t="s">
        <v>54</v>
      </c>
      <c r="C51" s="31" t="s">
        <v>55</v>
      </c>
    </row>
    <row r="52" spans="1:3" ht="15" x14ac:dyDescent="0.3">
      <c r="A52" s="262" t="s">
        <v>49</v>
      </c>
      <c r="B52" s="37">
        <v>44681</v>
      </c>
      <c r="C52" s="9">
        <v>5000</v>
      </c>
    </row>
    <row r="53" spans="1:3" ht="15" x14ac:dyDescent="0.3">
      <c r="A53" s="263"/>
      <c r="B53" s="38">
        <v>44773</v>
      </c>
      <c r="C53" s="9">
        <v>6000</v>
      </c>
    </row>
    <row r="54" spans="1:3" ht="15" x14ac:dyDescent="0.3">
      <c r="A54" s="263"/>
      <c r="B54" s="38">
        <v>44865</v>
      </c>
      <c r="C54" s="9">
        <v>4000</v>
      </c>
    </row>
    <row r="55" spans="1:3" ht="15" x14ac:dyDescent="0.3">
      <c r="A55" s="264"/>
      <c r="B55" s="38">
        <v>44957</v>
      </c>
      <c r="C55" s="9">
        <v>8000</v>
      </c>
    </row>
    <row r="56" spans="1:3" ht="15" x14ac:dyDescent="0.3">
      <c r="A56" s="262" t="s">
        <v>50</v>
      </c>
      <c r="B56" s="37">
        <v>45046</v>
      </c>
      <c r="C56" s="9">
        <v>9000</v>
      </c>
    </row>
    <row r="57" spans="1:3" ht="15" x14ac:dyDescent="0.3">
      <c r="A57" s="263"/>
      <c r="B57" s="38">
        <v>45138</v>
      </c>
      <c r="C57" s="9">
        <v>10000</v>
      </c>
    </row>
    <row r="58" spans="1:3" ht="15" x14ac:dyDescent="0.3">
      <c r="A58" s="263"/>
      <c r="B58" s="38">
        <v>45230</v>
      </c>
      <c r="C58" s="9">
        <v>8000</v>
      </c>
    </row>
    <row r="59" spans="1:3" ht="15" x14ac:dyDescent="0.3">
      <c r="A59" s="264"/>
      <c r="B59" s="38">
        <v>45322</v>
      </c>
      <c r="C59" s="9">
        <v>15000</v>
      </c>
    </row>
    <row r="60" spans="1:3" ht="15" x14ac:dyDescent="0.3">
      <c r="A60" s="262" t="s">
        <v>51</v>
      </c>
      <c r="B60" s="37">
        <v>45412</v>
      </c>
      <c r="C60" s="10">
        <f>Q4</f>
        <v>10878.260869565216</v>
      </c>
    </row>
    <row r="61" spans="1:3" ht="15" x14ac:dyDescent="0.3">
      <c r="A61" s="263"/>
      <c r="B61" s="38">
        <v>45504</v>
      </c>
      <c r="C61" s="10">
        <f>R4</f>
        <v>12573.91304347826</v>
      </c>
    </row>
    <row r="62" spans="1:3" ht="15" x14ac:dyDescent="0.3">
      <c r="A62" s="263"/>
      <c r="B62" s="38">
        <v>45596</v>
      </c>
      <c r="C62" s="10">
        <f>S4</f>
        <v>9182.608695652174</v>
      </c>
    </row>
    <row r="63" spans="1:3" ht="15" x14ac:dyDescent="0.3">
      <c r="A63" s="264"/>
      <c r="B63" s="44">
        <v>45688</v>
      </c>
      <c r="C63" s="10">
        <f>T4</f>
        <v>17765.217391304348</v>
      </c>
    </row>
    <row r="64" spans="1:3" ht="15.5" x14ac:dyDescent="0.35">
      <c r="A64" s="262" t="s">
        <v>52</v>
      </c>
      <c r="B64" s="37">
        <v>45777</v>
      </c>
      <c r="C64" s="179">
        <f>'Project-C'!C14</f>
        <v>13839.178216365926</v>
      </c>
    </row>
    <row r="65" spans="1:3" ht="15.5" x14ac:dyDescent="0.35">
      <c r="A65" s="263"/>
      <c r="B65" s="38">
        <v>45869</v>
      </c>
      <c r="C65" s="180">
        <f>'Project-C'!C15</f>
        <v>14576.305945824613</v>
      </c>
    </row>
    <row r="66" spans="1:3" ht="15.5" x14ac:dyDescent="0.35">
      <c r="A66" s="264"/>
      <c r="B66" s="44">
        <v>45961</v>
      </c>
      <c r="C66" s="181">
        <f>'Project-C'!C16</f>
        <v>15313.433675283295</v>
      </c>
    </row>
    <row r="68" spans="1:3" ht="14.5" x14ac:dyDescent="0.35">
      <c r="A68" s="270" t="s">
        <v>9</v>
      </c>
      <c r="B68" s="270"/>
      <c r="C68" s="271"/>
    </row>
    <row r="69" spans="1:3" ht="14.5" x14ac:dyDescent="0.35">
      <c r="A69" s="31" t="s">
        <v>53</v>
      </c>
      <c r="B69" s="31" t="s">
        <v>54</v>
      </c>
      <c r="C69" s="31" t="s">
        <v>55</v>
      </c>
    </row>
    <row r="70" spans="1:3" ht="15" x14ac:dyDescent="0.3">
      <c r="A70" s="262" t="s">
        <v>49</v>
      </c>
      <c r="B70" s="37">
        <v>44681</v>
      </c>
      <c r="C70" s="12">
        <v>15000</v>
      </c>
    </row>
    <row r="71" spans="1:3" ht="15" x14ac:dyDescent="0.3">
      <c r="A71" s="263"/>
      <c r="B71" s="38">
        <v>44773</v>
      </c>
      <c r="C71" s="12">
        <v>15500</v>
      </c>
    </row>
    <row r="72" spans="1:3" ht="15" x14ac:dyDescent="0.3">
      <c r="A72" s="263"/>
      <c r="B72" s="38">
        <v>44865</v>
      </c>
      <c r="C72" s="12">
        <v>13000</v>
      </c>
    </row>
    <row r="73" spans="1:3" ht="15" x14ac:dyDescent="0.3">
      <c r="A73" s="264"/>
      <c r="B73" s="38">
        <v>44957</v>
      </c>
      <c r="C73" s="12">
        <v>18000</v>
      </c>
    </row>
    <row r="74" spans="1:3" ht="15" x14ac:dyDescent="0.3">
      <c r="A74" s="262" t="s">
        <v>50</v>
      </c>
      <c r="B74" s="37">
        <v>45046</v>
      </c>
      <c r="C74" s="12">
        <v>16000</v>
      </c>
    </row>
    <row r="75" spans="1:3" ht="15" x14ac:dyDescent="0.3">
      <c r="A75" s="263"/>
      <c r="B75" s="38">
        <v>45138</v>
      </c>
      <c r="C75" s="12">
        <v>18000</v>
      </c>
    </row>
    <row r="76" spans="1:3" ht="15" x14ac:dyDescent="0.3">
      <c r="A76" s="263"/>
      <c r="B76" s="38">
        <v>45230</v>
      </c>
      <c r="C76" s="12">
        <v>15000</v>
      </c>
    </row>
    <row r="77" spans="1:3" ht="15" x14ac:dyDescent="0.3">
      <c r="A77" s="264"/>
      <c r="B77" s="38">
        <v>45322</v>
      </c>
      <c r="C77" s="12">
        <v>20000</v>
      </c>
    </row>
    <row r="78" spans="1:3" ht="15" x14ac:dyDescent="0.3">
      <c r="A78" s="262" t="s">
        <v>51</v>
      </c>
      <c r="B78" s="37">
        <v>45412</v>
      </c>
      <c r="C78" s="13">
        <f>Q5</f>
        <v>19697.560975609758</v>
      </c>
    </row>
    <row r="79" spans="1:3" ht="15" x14ac:dyDescent="0.3">
      <c r="A79" s="263"/>
      <c r="B79" s="38">
        <v>45504</v>
      </c>
      <c r="C79" s="13">
        <f>R5</f>
        <v>21234.146341463413</v>
      </c>
    </row>
    <row r="80" spans="1:3" ht="15" x14ac:dyDescent="0.3">
      <c r="A80" s="263"/>
      <c r="B80" s="38">
        <v>45596</v>
      </c>
      <c r="C80" s="13">
        <f>S5</f>
        <v>17751.219512195123</v>
      </c>
    </row>
    <row r="81" spans="1:3" ht="15" x14ac:dyDescent="0.3">
      <c r="A81" s="264"/>
      <c r="B81" s="44">
        <v>45688</v>
      </c>
      <c r="C81" s="175">
        <f>T5</f>
        <v>24117.073170731706</v>
      </c>
    </row>
    <row r="82" spans="1:3" ht="15.5" x14ac:dyDescent="0.3">
      <c r="A82" s="262" t="s">
        <v>52</v>
      </c>
      <c r="B82" s="172">
        <v>45777</v>
      </c>
      <c r="C82" s="176">
        <f>'Project-F1'!C14</f>
        <v>20140.302088950008</v>
      </c>
    </row>
    <row r="83" spans="1:3" ht="15.5" x14ac:dyDescent="0.3">
      <c r="A83" s="263"/>
      <c r="B83" s="173">
        <v>45869</v>
      </c>
      <c r="C83" s="177">
        <f>'Project-F1'!C15</f>
        <v>22624.509278481659</v>
      </c>
    </row>
    <row r="84" spans="1:3" ht="15.5" x14ac:dyDescent="0.3">
      <c r="A84" s="264"/>
      <c r="B84" s="174">
        <v>45961</v>
      </c>
      <c r="C84" s="178">
        <f>'Project-F1'!C16</f>
        <v>21216.735710060933</v>
      </c>
    </row>
    <row r="86" spans="1:3" ht="14.5" x14ac:dyDescent="0.35">
      <c r="A86" s="270" t="s">
        <v>10</v>
      </c>
      <c r="B86" s="270"/>
      <c r="C86" s="271"/>
    </row>
    <row r="87" spans="1:3" ht="14.5" x14ac:dyDescent="0.35">
      <c r="A87" s="31" t="s">
        <v>53</v>
      </c>
      <c r="B87" s="31" t="s">
        <v>54</v>
      </c>
      <c r="C87" s="31" t="s">
        <v>55</v>
      </c>
    </row>
    <row r="88" spans="1:3" ht="15" x14ac:dyDescent="0.3">
      <c r="A88" s="262" t="s">
        <v>49</v>
      </c>
      <c r="B88" s="37">
        <v>44681</v>
      </c>
      <c r="C88" s="14">
        <v>200000</v>
      </c>
    </row>
    <row r="89" spans="1:3" ht="15" x14ac:dyDescent="0.3">
      <c r="A89" s="263"/>
      <c r="B89" s="38">
        <v>44773</v>
      </c>
      <c r="C89" s="14">
        <v>180000</v>
      </c>
    </row>
    <row r="90" spans="1:3" ht="15" x14ac:dyDescent="0.3">
      <c r="A90" s="263"/>
      <c r="B90" s="38">
        <v>44865</v>
      </c>
      <c r="C90" s="14">
        <v>215000</v>
      </c>
    </row>
    <row r="91" spans="1:3" ht="15" x14ac:dyDescent="0.3">
      <c r="A91" s="264"/>
      <c r="B91" s="38">
        <v>44957</v>
      </c>
      <c r="C91" s="14">
        <v>220000</v>
      </c>
    </row>
    <row r="92" spans="1:3" ht="15" x14ac:dyDescent="0.3">
      <c r="A92" s="262" t="s">
        <v>50</v>
      </c>
      <c r="B92" s="37">
        <v>45046</v>
      </c>
      <c r="C92" s="14">
        <v>250000</v>
      </c>
    </row>
    <row r="93" spans="1:3" ht="15" x14ac:dyDescent="0.3">
      <c r="A93" s="263"/>
      <c r="B93" s="38">
        <v>45138</v>
      </c>
      <c r="C93" s="14">
        <v>260000</v>
      </c>
    </row>
    <row r="94" spans="1:3" ht="15" x14ac:dyDescent="0.3">
      <c r="A94" s="263"/>
      <c r="B94" s="38">
        <v>45230</v>
      </c>
      <c r="C94" s="14">
        <v>210000</v>
      </c>
    </row>
    <row r="95" spans="1:3" ht="15" x14ac:dyDescent="0.3">
      <c r="A95" s="264"/>
      <c r="B95" s="38">
        <v>45322</v>
      </c>
      <c r="C95" s="14">
        <v>260000</v>
      </c>
    </row>
    <row r="96" spans="1:3" ht="15" x14ac:dyDescent="0.3">
      <c r="A96" s="262" t="s">
        <v>51</v>
      </c>
      <c r="B96" s="37">
        <v>45412</v>
      </c>
      <c r="C96" s="15">
        <f>Q8</f>
        <v>294294.47852760734</v>
      </c>
    </row>
    <row r="97" spans="1:3" ht="15" x14ac:dyDescent="0.3">
      <c r="A97" s="263"/>
      <c r="B97" s="38">
        <v>45504</v>
      </c>
      <c r="C97" s="15">
        <f>R8</f>
        <v>285865.03067484661</v>
      </c>
    </row>
    <row r="98" spans="1:3" ht="15" x14ac:dyDescent="0.3">
      <c r="A98" s="263"/>
      <c r="B98" s="38">
        <v>45596</v>
      </c>
      <c r="C98" s="15">
        <f>S8</f>
        <v>281116.56441717787</v>
      </c>
    </row>
    <row r="99" spans="1:3" ht="15" x14ac:dyDescent="0.3">
      <c r="A99" s="264"/>
      <c r="B99" s="44">
        <v>45688</v>
      </c>
      <c r="C99" s="182">
        <f>T8</f>
        <v>314723.92638036812</v>
      </c>
    </row>
    <row r="100" spans="1:3" ht="15.5" x14ac:dyDescent="0.3">
      <c r="A100" s="262" t="s">
        <v>52</v>
      </c>
      <c r="B100" s="172">
        <v>45777</v>
      </c>
      <c r="C100" s="183">
        <f>'Project-F2'!C14</f>
        <v>314298.12525867834</v>
      </c>
    </row>
    <row r="101" spans="1:3" ht="15.5" x14ac:dyDescent="0.3">
      <c r="A101" s="263"/>
      <c r="B101" s="173">
        <v>45869</v>
      </c>
      <c r="C101" s="184">
        <f>'Project-F2'!C15</f>
        <v>324301.2923481139</v>
      </c>
    </row>
    <row r="102" spans="1:3" ht="15.5" x14ac:dyDescent="0.3">
      <c r="A102" s="264"/>
      <c r="B102" s="174">
        <v>45961</v>
      </c>
      <c r="C102" s="185">
        <f>'Project-F2'!C16</f>
        <v>334304.45943754946</v>
      </c>
    </row>
    <row r="104" spans="1:3" ht="14.5" x14ac:dyDescent="0.35">
      <c r="A104" s="270" t="s">
        <v>33</v>
      </c>
      <c r="B104" s="270"/>
      <c r="C104" s="271"/>
    </row>
    <row r="105" spans="1:3" ht="14.5" x14ac:dyDescent="0.35">
      <c r="A105" s="31" t="s">
        <v>53</v>
      </c>
      <c r="B105" s="31" t="s">
        <v>54</v>
      </c>
      <c r="C105" s="31" t="s">
        <v>33</v>
      </c>
    </row>
    <row r="106" spans="1:3" ht="15" x14ac:dyDescent="0.3">
      <c r="A106" s="262" t="s">
        <v>49</v>
      </c>
      <c r="B106" s="37">
        <v>44681</v>
      </c>
      <c r="C106" s="8">
        <v>4.8</v>
      </c>
    </row>
    <row r="107" spans="1:3" ht="15" x14ac:dyDescent="0.3">
      <c r="A107" s="263"/>
      <c r="B107" s="38">
        <v>44773</v>
      </c>
      <c r="C107" s="8">
        <v>4.8499999999999996</v>
      </c>
    </row>
    <row r="108" spans="1:3" ht="15" x14ac:dyDescent="0.3">
      <c r="A108" s="263"/>
      <c r="B108" s="38">
        <v>44865</v>
      </c>
      <c r="C108" s="8">
        <v>4.8</v>
      </c>
    </row>
    <row r="109" spans="1:3" ht="15" x14ac:dyDescent="0.3">
      <c r="A109" s="264"/>
      <c r="B109" s="38">
        <v>44957</v>
      </c>
      <c r="C109" s="8">
        <v>4.75</v>
      </c>
    </row>
    <row r="110" spans="1:3" ht="15" x14ac:dyDescent="0.3">
      <c r="A110" s="262" t="s">
        <v>50</v>
      </c>
      <c r="B110" s="37">
        <v>45046</v>
      </c>
      <c r="C110" s="8">
        <v>4.7</v>
      </c>
    </row>
    <row r="111" spans="1:3" ht="15" x14ac:dyDescent="0.3">
      <c r="A111" s="263"/>
      <c r="B111" s="38">
        <v>45138</v>
      </c>
      <c r="C111" s="8">
        <v>4.68</v>
      </c>
    </row>
    <row r="112" spans="1:3" ht="15" x14ac:dyDescent="0.3">
      <c r="A112" s="263"/>
      <c r="B112" s="38">
        <v>45230</v>
      </c>
      <c r="C112" s="8">
        <v>4.5999999999999996</v>
      </c>
    </row>
    <row r="113" spans="1:3" ht="15" x14ac:dyDescent="0.3">
      <c r="A113" s="264"/>
      <c r="B113" s="38">
        <v>45322</v>
      </c>
      <c r="C113" s="8">
        <v>4.59</v>
      </c>
    </row>
    <row r="114" spans="1:3" ht="15" x14ac:dyDescent="0.3">
      <c r="A114" s="262" t="s">
        <v>51</v>
      </c>
      <c r="B114" s="37">
        <v>45412</v>
      </c>
      <c r="C114" s="8">
        <v>4.5</v>
      </c>
    </row>
    <row r="115" spans="1:3" ht="15" x14ac:dyDescent="0.3">
      <c r="A115" s="263"/>
      <c r="B115" s="38">
        <v>45504</v>
      </c>
      <c r="C115" s="8">
        <v>4.5</v>
      </c>
    </row>
    <row r="116" spans="1:3" ht="15" x14ac:dyDescent="0.3">
      <c r="A116" s="263"/>
      <c r="B116" s="38">
        <v>45596</v>
      </c>
      <c r="C116" s="8">
        <v>4.5</v>
      </c>
    </row>
    <row r="117" spans="1:3" ht="15" x14ac:dyDescent="0.3">
      <c r="A117" s="264"/>
      <c r="B117" s="44">
        <v>45688</v>
      </c>
      <c r="C117" s="186">
        <v>4.5</v>
      </c>
    </row>
    <row r="118" spans="1:3" ht="15.5" x14ac:dyDescent="0.3">
      <c r="A118" s="262" t="s">
        <v>52</v>
      </c>
      <c r="B118" s="172">
        <v>45777</v>
      </c>
      <c r="C118" s="187">
        <f>'Forex-USD'!C14</f>
        <v>4.4122241029480067</v>
      </c>
    </row>
    <row r="119" spans="1:3" ht="15.5" x14ac:dyDescent="0.3">
      <c r="A119" s="263"/>
      <c r="B119" s="173">
        <v>45869</v>
      </c>
      <c r="C119" s="188">
        <f>'Forex-USD'!C15</f>
        <v>4.3739561405517318</v>
      </c>
    </row>
    <row r="120" spans="1:3" ht="15.5" x14ac:dyDescent="0.3">
      <c r="A120" s="264"/>
      <c r="B120" s="174">
        <v>45961</v>
      </c>
      <c r="C120" s="189">
        <f>'Forex-USD'!C16</f>
        <v>4.3356881781554568</v>
      </c>
    </row>
    <row r="122" spans="1:3" ht="14.5" x14ac:dyDescent="0.35">
      <c r="A122" s="270" t="s">
        <v>34</v>
      </c>
      <c r="B122" s="270"/>
      <c r="C122" s="271"/>
    </row>
    <row r="123" spans="1:3" ht="14.5" x14ac:dyDescent="0.35">
      <c r="A123" s="31" t="s">
        <v>53</v>
      </c>
      <c r="B123" s="31" t="s">
        <v>54</v>
      </c>
      <c r="C123" s="31" t="s">
        <v>34</v>
      </c>
    </row>
    <row r="124" spans="1:3" ht="15" x14ac:dyDescent="0.3">
      <c r="A124" s="262" t="s">
        <v>49</v>
      </c>
      <c r="B124" s="37">
        <v>44681</v>
      </c>
      <c r="C124" s="8">
        <v>1.7</v>
      </c>
    </row>
    <row r="125" spans="1:3" ht="15" x14ac:dyDescent="0.3">
      <c r="A125" s="263"/>
      <c r="B125" s="38">
        <v>44773</v>
      </c>
      <c r="C125" s="8">
        <v>1.78</v>
      </c>
    </row>
    <row r="126" spans="1:3" ht="15" x14ac:dyDescent="0.3">
      <c r="A126" s="263"/>
      <c r="B126" s="38">
        <v>44865</v>
      </c>
      <c r="C126" s="8">
        <v>1.8</v>
      </c>
    </row>
    <row r="127" spans="1:3" ht="15" x14ac:dyDescent="0.3">
      <c r="A127" s="264"/>
      <c r="B127" s="38">
        <v>44957</v>
      </c>
      <c r="C127" s="8">
        <v>1.81</v>
      </c>
    </row>
    <row r="128" spans="1:3" ht="15" x14ac:dyDescent="0.3">
      <c r="A128" s="262" t="s">
        <v>50</v>
      </c>
      <c r="B128" s="37">
        <v>45046</v>
      </c>
      <c r="C128" s="8">
        <v>1.78</v>
      </c>
    </row>
    <row r="129" spans="1:3" ht="15" x14ac:dyDescent="0.3">
      <c r="A129" s="263"/>
      <c r="B129" s="38">
        <v>45138</v>
      </c>
      <c r="C129" s="8">
        <v>1.7</v>
      </c>
    </row>
    <row r="130" spans="1:3" ht="15" x14ac:dyDescent="0.3">
      <c r="A130" s="263"/>
      <c r="B130" s="38">
        <v>45230</v>
      </c>
      <c r="C130" s="8">
        <v>1.6</v>
      </c>
    </row>
    <row r="131" spans="1:3" ht="15" x14ac:dyDescent="0.3">
      <c r="A131" s="264"/>
      <c r="B131" s="38">
        <v>45322</v>
      </c>
      <c r="C131" s="8">
        <v>1.53</v>
      </c>
    </row>
    <row r="132" spans="1:3" ht="15" x14ac:dyDescent="0.3">
      <c r="A132" s="262" t="s">
        <v>51</v>
      </c>
      <c r="B132" s="37">
        <v>45412</v>
      </c>
      <c r="C132" s="8">
        <v>1.5</v>
      </c>
    </row>
    <row r="133" spans="1:3" ht="15" x14ac:dyDescent="0.3">
      <c r="A133" s="263"/>
      <c r="B133" s="38">
        <v>45504</v>
      </c>
      <c r="C133" s="8">
        <v>1.48</v>
      </c>
    </row>
    <row r="134" spans="1:3" ht="15" x14ac:dyDescent="0.3">
      <c r="A134" s="263"/>
      <c r="B134" s="38">
        <v>45596</v>
      </c>
      <c r="C134" s="8">
        <v>1.46</v>
      </c>
    </row>
    <row r="135" spans="1:3" ht="15" x14ac:dyDescent="0.3">
      <c r="A135" s="264"/>
      <c r="B135" s="44">
        <v>45688</v>
      </c>
      <c r="C135" s="186">
        <v>1.45</v>
      </c>
    </row>
    <row r="136" spans="1:3" ht="15.5" x14ac:dyDescent="0.3">
      <c r="A136" s="262" t="s">
        <v>52</v>
      </c>
      <c r="B136" s="172">
        <v>45777</v>
      </c>
      <c r="C136" s="187">
        <f>'Forex-RMB'!C14</f>
        <v>1.3917852187171982</v>
      </c>
    </row>
    <row r="137" spans="1:3" ht="15.5" x14ac:dyDescent="0.3">
      <c r="A137" s="263"/>
      <c r="B137" s="173">
        <v>45869</v>
      </c>
      <c r="C137" s="188">
        <f>'Forex-RMB'!C15</f>
        <v>1.3576966545390343</v>
      </c>
    </row>
    <row r="138" spans="1:3" ht="15.5" x14ac:dyDescent="0.3">
      <c r="A138" s="264"/>
      <c r="B138" s="174">
        <v>45961</v>
      </c>
      <c r="C138" s="189">
        <f>'Forex-RMB'!C16</f>
        <v>1.3236080903608705</v>
      </c>
    </row>
  </sheetData>
  <mergeCells count="37">
    <mergeCell ref="A136:A138"/>
    <mergeCell ref="A92:A95"/>
    <mergeCell ref="A96:A99"/>
    <mergeCell ref="A104:C104"/>
    <mergeCell ref="A70:A73"/>
    <mergeCell ref="A74:A77"/>
    <mergeCell ref="A78:A81"/>
    <mergeCell ref="A86:C86"/>
    <mergeCell ref="A88:A91"/>
    <mergeCell ref="A132:A135"/>
    <mergeCell ref="A110:A113"/>
    <mergeCell ref="A82:A84"/>
    <mergeCell ref="A100:A102"/>
    <mergeCell ref="A60:A63"/>
    <mergeCell ref="A68:C68"/>
    <mergeCell ref="A1:B1"/>
    <mergeCell ref="A14:C14"/>
    <mergeCell ref="A16:A19"/>
    <mergeCell ref="A20:A23"/>
    <mergeCell ref="A24:A27"/>
    <mergeCell ref="A2:D9"/>
    <mergeCell ref="A28:A30"/>
    <mergeCell ref="A46:A48"/>
    <mergeCell ref="A128:A131"/>
    <mergeCell ref="A118:A120"/>
    <mergeCell ref="A56:A59"/>
    <mergeCell ref="A32:C32"/>
    <mergeCell ref="A114:A117"/>
    <mergeCell ref="A122:C122"/>
    <mergeCell ref="A124:A127"/>
    <mergeCell ref="A34:A37"/>
    <mergeCell ref="A38:A41"/>
    <mergeCell ref="A42:A45"/>
    <mergeCell ref="A50:C50"/>
    <mergeCell ref="A52:A55"/>
    <mergeCell ref="A106:A109"/>
    <mergeCell ref="A64:A6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FC932-2AB7-4722-832B-A170BD3DEC0F}">
  <dimension ref="A1:T138"/>
  <sheetViews>
    <sheetView topLeftCell="A109" zoomScale="110" zoomScaleNormal="110" workbookViewId="0">
      <selection activeCell="C138" sqref="C138"/>
    </sheetView>
  </sheetViews>
  <sheetFormatPr defaultRowHeight="14" x14ac:dyDescent="0.3"/>
  <cols>
    <col min="1" max="1" width="12.25" customWidth="1"/>
    <col min="2" max="2" width="14.5" customWidth="1"/>
    <col min="3" max="3" width="43.75" customWidth="1"/>
    <col min="4" max="4" width="17" customWidth="1"/>
    <col min="5" max="5" width="11.33203125" customWidth="1"/>
    <col min="6" max="6" width="13.75" customWidth="1"/>
    <col min="7" max="7" width="18.5" customWidth="1"/>
    <col min="8" max="8" width="12.83203125" customWidth="1"/>
    <col min="9" max="9" width="16.25" customWidth="1"/>
    <col min="10" max="10" width="14.58203125" customWidth="1"/>
    <col min="11" max="11" width="13.33203125" customWidth="1"/>
    <col min="12" max="12" width="16.75" customWidth="1"/>
    <col min="13" max="13" width="13" customWidth="1"/>
    <col min="14" max="14" width="11.83203125" customWidth="1"/>
    <col min="15" max="15" width="12.5" customWidth="1"/>
    <col min="16" max="16" width="12.75" customWidth="1"/>
    <col min="17" max="17" width="14" customWidth="1"/>
    <col min="18" max="18" width="13.5" customWidth="1"/>
    <col min="19" max="19" width="12" customWidth="1"/>
    <col min="20" max="20" width="12.75" customWidth="1"/>
  </cols>
  <sheetData>
    <row r="1" spans="1:20" ht="15.5" x14ac:dyDescent="0.35">
      <c r="A1" s="267"/>
      <c r="B1" s="268"/>
      <c r="F1" s="6" t="s">
        <v>14</v>
      </c>
      <c r="G1" s="6"/>
      <c r="H1" s="6" t="s">
        <v>35</v>
      </c>
      <c r="I1" s="7" t="s">
        <v>85</v>
      </c>
      <c r="J1" s="7" t="s">
        <v>17</v>
      </c>
      <c r="K1" s="7" t="s">
        <v>18</v>
      </c>
      <c r="L1" s="7" t="s">
        <v>19</v>
      </c>
      <c r="M1" s="7" t="s">
        <v>20</v>
      </c>
      <c r="N1" s="7" t="s">
        <v>21</v>
      </c>
      <c r="O1" s="7" t="s">
        <v>22</v>
      </c>
      <c r="P1" s="7" t="s">
        <v>23</v>
      </c>
      <c r="Q1" s="7" t="s">
        <v>28</v>
      </c>
      <c r="R1" s="7" t="s">
        <v>26</v>
      </c>
      <c r="S1" s="7" t="s">
        <v>29</v>
      </c>
      <c r="T1" s="7" t="s">
        <v>30</v>
      </c>
    </row>
    <row r="2" spans="1:20" ht="15" x14ac:dyDescent="0.3">
      <c r="A2" s="269" t="s">
        <v>107</v>
      </c>
      <c r="B2" s="269"/>
      <c r="C2" s="269"/>
      <c r="D2" s="269"/>
      <c r="F2" s="7" t="s">
        <v>0</v>
      </c>
      <c r="G2" s="8" t="s">
        <v>1</v>
      </c>
      <c r="H2" s="9">
        <v>250000</v>
      </c>
      <c r="I2" s="9">
        <v>50000</v>
      </c>
      <c r="J2" s="9">
        <v>55000</v>
      </c>
      <c r="K2" s="9">
        <v>45000</v>
      </c>
      <c r="L2" s="9">
        <v>60000</v>
      </c>
      <c r="M2" s="9">
        <v>50000</v>
      </c>
      <c r="N2" s="9">
        <v>55000</v>
      </c>
      <c r="O2" s="9">
        <v>45000</v>
      </c>
      <c r="P2" s="9">
        <v>60000</v>
      </c>
      <c r="Q2" s="10">
        <f>'Seasonal Forcast for 2024'!R2</f>
        <v>60000</v>
      </c>
      <c r="R2" s="10">
        <f>'Seasonal Forcast for 2024'!S2</f>
        <v>66000</v>
      </c>
      <c r="S2" s="10">
        <f>'Seasonal Forcast for 2024'!T2</f>
        <v>54000</v>
      </c>
      <c r="T2" s="10">
        <f>'Seasonal Forcast for 2024'!U2</f>
        <v>72000</v>
      </c>
    </row>
    <row r="3" spans="1:20" ht="15" x14ac:dyDescent="0.3">
      <c r="A3" s="269"/>
      <c r="B3" s="269"/>
      <c r="C3" s="269"/>
      <c r="D3" s="269"/>
      <c r="F3" s="7" t="s">
        <v>2</v>
      </c>
      <c r="G3" s="8" t="s">
        <v>1</v>
      </c>
      <c r="H3" s="9">
        <v>100000</v>
      </c>
      <c r="I3" s="9">
        <v>20000</v>
      </c>
      <c r="J3" s="9">
        <v>22000</v>
      </c>
      <c r="K3" s="9">
        <f>18000</f>
        <v>18000</v>
      </c>
      <c r="L3" s="9">
        <f>25000</f>
        <v>25000</v>
      </c>
      <c r="M3" s="9">
        <v>22000</v>
      </c>
      <c r="N3" s="9">
        <v>25000</v>
      </c>
      <c r="O3" s="9">
        <v>20000</v>
      </c>
      <c r="P3" s="9">
        <v>28000</v>
      </c>
      <c r="Q3" s="10">
        <f>'Seasonal Forcast for 2024'!R3</f>
        <v>26611.764705882353</v>
      </c>
      <c r="R3" s="10">
        <f>'Seasonal Forcast for 2024'!S3</f>
        <v>29752.941176470587</v>
      </c>
      <c r="S3" s="10">
        <f>'Seasonal Forcast for 2024'!T3</f>
        <v>24070.588235294119</v>
      </c>
      <c r="T3" s="10">
        <f>'Seasonal Forcast for 2024'!U3</f>
        <v>33564.705882352937</v>
      </c>
    </row>
    <row r="4" spans="1:20" ht="15" x14ac:dyDescent="0.3">
      <c r="A4" s="269"/>
      <c r="B4" s="269"/>
      <c r="C4" s="269"/>
      <c r="D4" s="269"/>
      <c r="F4" s="7" t="s">
        <v>4</v>
      </c>
      <c r="G4" s="8" t="s">
        <v>1</v>
      </c>
      <c r="H4" s="9">
        <v>25000</v>
      </c>
      <c r="I4" s="9">
        <v>5000</v>
      </c>
      <c r="J4" s="9">
        <v>6000</v>
      </c>
      <c r="K4" s="9">
        <v>4000</v>
      </c>
      <c r="L4" s="9">
        <v>8000</v>
      </c>
      <c r="M4" s="9">
        <v>9000</v>
      </c>
      <c r="N4" s="9">
        <v>10000</v>
      </c>
      <c r="O4" s="9">
        <v>8000</v>
      </c>
      <c r="P4" s="9">
        <v>15000</v>
      </c>
      <c r="Q4" s="10">
        <f>'Seasonal Forcast for 2024'!R4</f>
        <v>10878.260869565216</v>
      </c>
      <c r="R4" s="10">
        <f>'Seasonal Forcast for 2024'!S4</f>
        <v>12573.91304347826</v>
      </c>
      <c r="S4" s="10">
        <f>'Seasonal Forcast for 2024'!T4</f>
        <v>9182.608695652174</v>
      </c>
      <c r="T4" s="10">
        <f>'Seasonal Forcast for 2024'!U4</f>
        <v>17765.217391304348</v>
      </c>
    </row>
    <row r="5" spans="1:20" ht="15" x14ac:dyDescent="0.3">
      <c r="A5" s="269"/>
      <c r="B5" s="269"/>
      <c r="C5" s="269"/>
      <c r="D5" s="269"/>
      <c r="F5" s="7" t="s">
        <v>9</v>
      </c>
      <c r="G5" s="8" t="s">
        <v>1</v>
      </c>
      <c r="H5" s="12">
        <v>150000</v>
      </c>
      <c r="I5" s="12">
        <v>15000</v>
      </c>
      <c r="J5" s="12">
        <v>15500</v>
      </c>
      <c r="K5" s="12">
        <v>13000</v>
      </c>
      <c r="L5" s="12">
        <v>18000</v>
      </c>
      <c r="M5" s="12">
        <v>16000</v>
      </c>
      <c r="N5" s="12">
        <v>18000</v>
      </c>
      <c r="O5" s="12">
        <v>15000</v>
      </c>
      <c r="P5" s="12">
        <v>20000</v>
      </c>
      <c r="Q5" s="13">
        <f>'Seasonal Forcast for 2024'!R5</f>
        <v>19697.560975609758</v>
      </c>
      <c r="R5" s="13">
        <f>'Seasonal Forcast for 2024'!S5</f>
        <v>21234.146341463413</v>
      </c>
      <c r="S5" s="13">
        <f>'Seasonal Forcast for 2024'!T5</f>
        <v>17751.219512195123</v>
      </c>
      <c r="T5" s="13">
        <f>'Seasonal Forcast for 2024'!U5</f>
        <v>24117.073170731706</v>
      </c>
    </row>
    <row r="6" spans="1:20" ht="15" x14ac:dyDescent="0.3">
      <c r="A6" s="269"/>
      <c r="B6" s="269"/>
      <c r="C6" s="269"/>
      <c r="D6" s="269"/>
      <c r="F6" s="7"/>
      <c r="G6" s="8" t="s">
        <v>33</v>
      </c>
      <c r="H6" s="8">
        <v>4.8</v>
      </c>
      <c r="I6" s="8">
        <v>4.8</v>
      </c>
      <c r="J6" s="8">
        <v>4.8499999999999996</v>
      </c>
      <c r="K6" s="8">
        <v>4.8</v>
      </c>
      <c r="L6" s="8">
        <v>4.75</v>
      </c>
      <c r="M6" s="8">
        <v>4.7</v>
      </c>
      <c r="N6" s="8">
        <v>4.68</v>
      </c>
      <c r="O6" s="8">
        <v>4.5999999999999996</v>
      </c>
      <c r="P6" s="8">
        <v>4.59</v>
      </c>
      <c r="Q6" s="8">
        <v>4.5</v>
      </c>
      <c r="R6" s="8">
        <v>4.5</v>
      </c>
      <c r="S6" s="8">
        <v>4.5</v>
      </c>
      <c r="T6" s="8">
        <v>4.5</v>
      </c>
    </row>
    <row r="7" spans="1:20" ht="15" x14ac:dyDescent="0.3">
      <c r="A7" s="269"/>
      <c r="B7" s="269"/>
      <c r="C7" s="269"/>
      <c r="D7" s="269"/>
      <c r="F7" s="7"/>
      <c r="G7" s="8" t="s">
        <v>3</v>
      </c>
      <c r="H7" s="9">
        <f>H5*H6</f>
        <v>720000</v>
      </c>
      <c r="I7" s="9">
        <f>I5*I6</f>
        <v>72000</v>
      </c>
      <c r="J7" s="9">
        <f t="shared" ref="J7:P7" si="0">J5*J6</f>
        <v>75175</v>
      </c>
      <c r="K7" s="9">
        <f t="shared" si="0"/>
        <v>62400</v>
      </c>
      <c r="L7" s="9">
        <f t="shared" si="0"/>
        <v>85500</v>
      </c>
      <c r="M7" s="9">
        <f t="shared" si="0"/>
        <v>75200</v>
      </c>
      <c r="N7" s="9">
        <f t="shared" si="0"/>
        <v>84240</v>
      </c>
      <c r="O7" s="9">
        <f t="shared" si="0"/>
        <v>69000</v>
      </c>
      <c r="P7" s="9">
        <f t="shared" si="0"/>
        <v>91800</v>
      </c>
      <c r="Q7" s="10">
        <f>Q5*Q6</f>
        <v>88639.024390243911</v>
      </c>
      <c r="R7" s="10">
        <f t="shared" ref="R7:T7" si="1">R5*R6</f>
        <v>95553.658536585353</v>
      </c>
      <c r="S7" s="10">
        <f t="shared" si="1"/>
        <v>79880.487804878052</v>
      </c>
      <c r="T7" s="10">
        <f t="shared" si="1"/>
        <v>108526.82926829268</v>
      </c>
    </row>
    <row r="8" spans="1:20" ht="15" x14ac:dyDescent="0.3">
      <c r="A8" s="269"/>
      <c r="B8" s="269"/>
      <c r="C8" s="269"/>
      <c r="D8" s="269"/>
      <c r="F8" s="7" t="s">
        <v>10</v>
      </c>
      <c r="G8" s="8" t="s">
        <v>1</v>
      </c>
      <c r="H8" s="14">
        <v>100000</v>
      </c>
      <c r="I8" s="14">
        <v>200000</v>
      </c>
      <c r="J8" s="14">
        <v>180000</v>
      </c>
      <c r="K8" s="14">
        <v>215000</v>
      </c>
      <c r="L8" s="14">
        <v>220000</v>
      </c>
      <c r="M8" s="14">
        <v>250000</v>
      </c>
      <c r="N8" s="14">
        <v>260000</v>
      </c>
      <c r="O8" s="14">
        <v>210000</v>
      </c>
      <c r="P8" s="14">
        <v>260000</v>
      </c>
      <c r="Q8" s="15">
        <f>'Seasonal Forcast for 2024'!R8</f>
        <v>294294.47852760734</v>
      </c>
      <c r="R8" s="15">
        <f>'Seasonal Forcast for 2024'!S8</f>
        <v>285865.03067484661</v>
      </c>
      <c r="S8" s="15">
        <f>'Seasonal Forcast for 2024'!T8</f>
        <v>281116.56441717787</v>
      </c>
      <c r="T8" s="15">
        <f>'Seasonal Forcast for 2024'!U8</f>
        <v>314723.92638036812</v>
      </c>
    </row>
    <row r="9" spans="1:20" ht="15" x14ac:dyDescent="0.3">
      <c r="A9" s="269"/>
      <c r="B9" s="269"/>
      <c r="C9" s="269"/>
      <c r="D9" s="269"/>
      <c r="F9" s="7"/>
      <c r="G9" s="8" t="s">
        <v>34</v>
      </c>
      <c r="H9" s="8">
        <v>1.7</v>
      </c>
      <c r="I9" s="8">
        <v>1.7</v>
      </c>
      <c r="J9" s="8">
        <v>1.78</v>
      </c>
      <c r="K9" s="8">
        <v>1.8</v>
      </c>
      <c r="L9" s="8">
        <v>1.81</v>
      </c>
      <c r="M9" s="8">
        <v>1.78</v>
      </c>
      <c r="N9" s="8">
        <v>1.7</v>
      </c>
      <c r="O9" s="8">
        <v>1.6</v>
      </c>
      <c r="P9" s="8">
        <v>1.53</v>
      </c>
      <c r="Q9" s="8">
        <v>1.5</v>
      </c>
      <c r="R9" s="8">
        <v>1.48</v>
      </c>
      <c r="S9" s="8">
        <v>1.46</v>
      </c>
      <c r="T9" s="8">
        <v>1.45</v>
      </c>
    </row>
    <row r="10" spans="1:20" ht="15" x14ac:dyDescent="0.3">
      <c r="B10" s="25"/>
      <c r="F10" s="7"/>
      <c r="G10" s="8" t="s">
        <v>3</v>
      </c>
      <c r="H10" s="8"/>
      <c r="I10" s="24">
        <f>I8*I9</f>
        <v>340000</v>
      </c>
      <c r="J10" s="24">
        <f t="shared" ref="J10:P10" si="2">J8*J9</f>
        <v>320400</v>
      </c>
      <c r="K10" s="24">
        <f t="shared" si="2"/>
        <v>387000</v>
      </c>
      <c r="L10" s="24">
        <f t="shared" si="2"/>
        <v>398200</v>
      </c>
      <c r="M10" s="24">
        <f t="shared" si="2"/>
        <v>445000</v>
      </c>
      <c r="N10" s="24">
        <f t="shared" si="2"/>
        <v>442000</v>
      </c>
      <c r="O10" s="24">
        <f t="shared" si="2"/>
        <v>336000</v>
      </c>
      <c r="P10" s="24">
        <f t="shared" si="2"/>
        <v>397800</v>
      </c>
      <c r="Q10" s="10">
        <f>Q8*Q9</f>
        <v>441441.71779141098</v>
      </c>
      <c r="R10" s="10">
        <f t="shared" ref="R10:T10" si="3">R8*R9</f>
        <v>423080.245398773</v>
      </c>
      <c r="S10" s="10">
        <f t="shared" si="3"/>
        <v>410430.18404907966</v>
      </c>
      <c r="T10" s="10">
        <f t="shared" si="3"/>
        <v>456349.69325153378</v>
      </c>
    </row>
    <row r="11" spans="1:20" ht="14.5" x14ac:dyDescent="0.35">
      <c r="B11" s="25"/>
      <c r="D11" s="27"/>
    </row>
    <row r="12" spans="1:20" x14ac:dyDescent="0.3">
      <c r="B12" s="25"/>
    </row>
    <row r="13" spans="1:20" x14ac:dyDescent="0.3">
      <c r="A13" s="30"/>
      <c r="B13" s="32"/>
      <c r="C13" s="30"/>
    </row>
    <row r="14" spans="1:20" ht="14.5" x14ac:dyDescent="0.35">
      <c r="A14" s="270" t="s">
        <v>0</v>
      </c>
      <c r="B14" s="270"/>
      <c r="C14" s="271"/>
    </row>
    <row r="15" spans="1:20" s="29" customFormat="1" ht="14.5" x14ac:dyDescent="0.35">
      <c r="A15" s="31" t="s">
        <v>53</v>
      </c>
      <c r="B15" s="31" t="s">
        <v>54</v>
      </c>
      <c r="C15" s="31" t="s">
        <v>55</v>
      </c>
    </row>
    <row r="16" spans="1:20" ht="15" x14ac:dyDescent="0.3">
      <c r="A16" s="262" t="s">
        <v>49</v>
      </c>
      <c r="B16" s="37">
        <v>44681</v>
      </c>
      <c r="C16" s="33">
        <v>50000</v>
      </c>
    </row>
    <row r="17" spans="1:3" ht="15" x14ac:dyDescent="0.3">
      <c r="A17" s="263"/>
      <c r="B17" s="38">
        <v>44773</v>
      </c>
      <c r="C17" s="34">
        <v>55000</v>
      </c>
    </row>
    <row r="18" spans="1:3" ht="15" x14ac:dyDescent="0.3">
      <c r="A18" s="263"/>
      <c r="B18" s="38">
        <v>44865</v>
      </c>
      <c r="C18" s="34">
        <v>45000</v>
      </c>
    </row>
    <row r="19" spans="1:3" ht="15" x14ac:dyDescent="0.3">
      <c r="A19" s="264"/>
      <c r="B19" s="38">
        <v>44957</v>
      </c>
      <c r="C19" s="35">
        <v>60000</v>
      </c>
    </row>
    <row r="20" spans="1:3" ht="15" x14ac:dyDescent="0.3">
      <c r="A20" s="262" t="s">
        <v>50</v>
      </c>
      <c r="B20" s="37">
        <v>45046</v>
      </c>
      <c r="C20" s="34">
        <v>50000</v>
      </c>
    </row>
    <row r="21" spans="1:3" ht="15" x14ac:dyDescent="0.3">
      <c r="A21" s="263"/>
      <c r="B21" s="38">
        <v>45138</v>
      </c>
      <c r="C21" s="34">
        <v>55000</v>
      </c>
    </row>
    <row r="22" spans="1:3" ht="15" x14ac:dyDescent="0.3">
      <c r="A22" s="263"/>
      <c r="B22" s="38">
        <v>45230</v>
      </c>
      <c r="C22" s="34">
        <v>45000</v>
      </c>
    </row>
    <row r="23" spans="1:3" ht="15" x14ac:dyDescent="0.3">
      <c r="A23" s="264"/>
      <c r="B23" s="38">
        <v>45322</v>
      </c>
      <c r="C23" s="35">
        <v>60000</v>
      </c>
    </row>
    <row r="24" spans="1:3" ht="15" x14ac:dyDescent="0.3">
      <c r="A24" s="262" t="s">
        <v>51</v>
      </c>
      <c r="B24" s="37">
        <v>45412</v>
      </c>
      <c r="C24" s="36">
        <f>Q2</f>
        <v>60000</v>
      </c>
    </row>
    <row r="25" spans="1:3" ht="15" x14ac:dyDescent="0.3">
      <c r="A25" s="263"/>
      <c r="B25" s="38">
        <v>45504</v>
      </c>
      <c r="C25" s="36">
        <f>R2</f>
        <v>66000</v>
      </c>
    </row>
    <row r="26" spans="1:3" ht="15" x14ac:dyDescent="0.3">
      <c r="A26" s="263"/>
      <c r="B26" s="38">
        <v>45596</v>
      </c>
      <c r="C26" s="36">
        <f>S2</f>
        <v>54000</v>
      </c>
    </row>
    <row r="27" spans="1:3" ht="15" x14ac:dyDescent="0.3">
      <c r="A27" s="264"/>
      <c r="B27" s="38">
        <v>45688</v>
      </c>
      <c r="C27" s="171">
        <f>T2</f>
        <v>72000</v>
      </c>
    </row>
    <row r="28" spans="1:3" ht="15.5" x14ac:dyDescent="0.35">
      <c r="A28" s="262" t="s">
        <v>52</v>
      </c>
      <c r="B28" s="172">
        <v>45777</v>
      </c>
      <c r="C28" s="179">
        <f>_xlfn.FORECAST.LINEAR(B28,$C$16:$C$27,$B$16:$B$27)</f>
        <v>65071.792738764547</v>
      </c>
    </row>
    <row r="29" spans="1:3" ht="15.5" x14ac:dyDescent="0.35">
      <c r="A29" s="263"/>
      <c r="B29" s="173">
        <v>45869</v>
      </c>
      <c r="C29" s="180">
        <f>_xlfn.FORECAST.LINEAR(B29,$C$16:$C$27,$B$16:$B$27)</f>
        <v>66480.012533983332</v>
      </c>
    </row>
    <row r="30" spans="1:3" ht="15.5" x14ac:dyDescent="0.35">
      <c r="A30" s="264"/>
      <c r="B30" s="174">
        <v>45961</v>
      </c>
      <c r="C30" s="181">
        <f>_xlfn.FORECAST.LINEAR(B30,$C$16:$C$27,$B$16:$B$27)</f>
        <v>67888.232329202117</v>
      </c>
    </row>
    <row r="31" spans="1:3" ht="14.5" x14ac:dyDescent="0.3">
      <c r="A31" s="42"/>
      <c r="B31" s="40"/>
      <c r="C31" s="190"/>
    </row>
    <row r="32" spans="1:3" ht="14.5" x14ac:dyDescent="0.35">
      <c r="A32" s="270" t="s">
        <v>2</v>
      </c>
      <c r="B32" s="270"/>
      <c r="C32" s="271"/>
    </row>
    <row r="33" spans="1:20" ht="14.5" x14ac:dyDescent="0.35">
      <c r="A33" s="31" t="s">
        <v>53</v>
      </c>
      <c r="B33" s="31" t="s">
        <v>54</v>
      </c>
      <c r="C33" s="31" t="s">
        <v>55</v>
      </c>
      <c r="D33" s="39"/>
    </row>
    <row r="34" spans="1:20" ht="15" x14ac:dyDescent="0.3">
      <c r="A34" s="262" t="s">
        <v>49</v>
      </c>
      <c r="B34" s="37">
        <v>44681</v>
      </c>
      <c r="C34" s="9">
        <v>20000</v>
      </c>
    </row>
    <row r="35" spans="1:20" ht="15" x14ac:dyDescent="0.3">
      <c r="A35" s="263"/>
      <c r="B35" s="38">
        <v>44773</v>
      </c>
      <c r="C35" s="9">
        <v>22000</v>
      </c>
    </row>
    <row r="36" spans="1:20" ht="15" x14ac:dyDescent="0.3">
      <c r="A36" s="263"/>
      <c r="B36" s="38">
        <v>44865</v>
      </c>
      <c r="C36" s="9">
        <f>18000</f>
        <v>18000</v>
      </c>
    </row>
    <row r="37" spans="1:20" ht="15" x14ac:dyDescent="0.3">
      <c r="A37" s="264"/>
      <c r="B37" s="38">
        <v>44957</v>
      </c>
      <c r="C37" s="9">
        <f>25000</f>
        <v>25000</v>
      </c>
      <c r="M37" s="5"/>
      <c r="N37" s="5"/>
      <c r="O37" s="5"/>
      <c r="P37" s="5"/>
      <c r="Q37" s="5"/>
      <c r="R37" s="5"/>
      <c r="S37" s="5"/>
      <c r="T37" s="5"/>
    </row>
    <row r="38" spans="1:20" ht="15" x14ac:dyDescent="0.3">
      <c r="A38" s="262" t="s">
        <v>50</v>
      </c>
      <c r="B38" s="37">
        <v>45046</v>
      </c>
      <c r="C38" s="9">
        <v>22000</v>
      </c>
      <c r="L38" s="2"/>
      <c r="M38" s="28"/>
      <c r="N38" s="28"/>
      <c r="O38" s="28"/>
      <c r="P38" s="28"/>
      <c r="Q38" s="28"/>
      <c r="R38" s="28"/>
      <c r="S38" s="28"/>
      <c r="T38" s="28"/>
    </row>
    <row r="39" spans="1:20" ht="15" x14ac:dyDescent="0.3">
      <c r="A39" s="263"/>
      <c r="B39" s="38">
        <v>45138</v>
      </c>
      <c r="C39" s="9">
        <v>25000</v>
      </c>
      <c r="L39" s="2"/>
      <c r="M39" s="28"/>
      <c r="N39" s="28"/>
      <c r="O39" s="28"/>
      <c r="P39" s="28"/>
      <c r="Q39" s="28"/>
      <c r="R39" s="28"/>
      <c r="S39" s="28"/>
      <c r="T39" s="28"/>
    </row>
    <row r="40" spans="1:20" ht="15" x14ac:dyDescent="0.3">
      <c r="A40" s="263"/>
      <c r="B40" s="38">
        <v>45230</v>
      </c>
      <c r="C40" s="9">
        <v>20000</v>
      </c>
      <c r="L40" s="2"/>
      <c r="M40" s="28"/>
      <c r="N40" s="28"/>
      <c r="O40" s="28"/>
      <c r="P40" s="28"/>
      <c r="Q40" s="28"/>
      <c r="R40" s="28"/>
      <c r="S40" s="28"/>
      <c r="T40" s="28"/>
    </row>
    <row r="41" spans="1:20" ht="15" x14ac:dyDescent="0.3">
      <c r="A41" s="264"/>
      <c r="B41" s="38">
        <v>45322</v>
      </c>
      <c r="C41" s="9">
        <v>28000</v>
      </c>
    </row>
    <row r="42" spans="1:20" ht="15" x14ac:dyDescent="0.3">
      <c r="A42" s="262" t="s">
        <v>51</v>
      </c>
      <c r="B42" s="37">
        <v>45412</v>
      </c>
      <c r="C42" s="10">
        <f>Q3</f>
        <v>26611.764705882353</v>
      </c>
    </row>
    <row r="43" spans="1:20" ht="15" x14ac:dyDescent="0.3">
      <c r="A43" s="263"/>
      <c r="B43" s="38">
        <v>45504</v>
      </c>
      <c r="C43" s="10">
        <f>R3</f>
        <v>29752.941176470587</v>
      </c>
    </row>
    <row r="44" spans="1:20" ht="15" x14ac:dyDescent="0.3">
      <c r="A44" s="263"/>
      <c r="B44" s="38">
        <v>45596</v>
      </c>
      <c r="C44" s="10">
        <f>S3</f>
        <v>24070.588235294119</v>
      </c>
    </row>
    <row r="45" spans="1:20" ht="15" x14ac:dyDescent="0.3">
      <c r="A45" s="264"/>
      <c r="B45" s="44">
        <v>45688</v>
      </c>
      <c r="C45" s="191">
        <f>T3</f>
        <v>33564.705882352937</v>
      </c>
    </row>
    <row r="46" spans="1:20" ht="15.5" x14ac:dyDescent="0.35">
      <c r="A46" s="262" t="s">
        <v>52</v>
      </c>
      <c r="B46" s="172">
        <v>45777</v>
      </c>
      <c r="C46" s="179">
        <f>_xlfn.FORECAST.LINEAR(B46,$C$34:$C$45,$B$34:$B$45)</f>
        <v>30647.880702034221</v>
      </c>
    </row>
    <row r="47" spans="1:20" ht="15.5" x14ac:dyDescent="0.35">
      <c r="A47" s="263"/>
      <c r="B47" s="173">
        <v>45869</v>
      </c>
      <c r="C47" s="180">
        <f>_xlfn.FORECAST.LINEAR(B47,$C$34:$C$45,$B$34:$B$45)</f>
        <v>31602.219888626714</v>
      </c>
    </row>
    <row r="48" spans="1:20" ht="15.5" x14ac:dyDescent="0.35">
      <c r="A48" s="264"/>
      <c r="B48" s="174">
        <v>45961</v>
      </c>
      <c r="C48" s="181">
        <f>_xlfn.FORECAST.LINEAR(B48,$C$34:$C$45,$B$34:$B$45)</f>
        <v>32556.559075219207</v>
      </c>
    </row>
    <row r="50" spans="1:3" ht="14.5" x14ac:dyDescent="0.35">
      <c r="A50" s="270" t="s">
        <v>4</v>
      </c>
      <c r="B50" s="270"/>
      <c r="C50" s="271"/>
    </row>
    <row r="51" spans="1:3" ht="14.5" x14ac:dyDescent="0.35">
      <c r="A51" s="31" t="s">
        <v>53</v>
      </c>
      <c r="B51" s="31" t="s">
        <v>54</v>
      </c>
      <c r="C51" s="31" t="s">
        <v>55</v>
      </c>
    </row>
    <row r="52" spans="1:3" ht="15" x14ac:dyDescent="0.3">
      <c r="A52" s="262" t="s">
        <v>49</v>
      </c>
      <c r="B52" s="37">
        <v>44681</v>
      </c>
      <c r="C52" s="9">
        <v>5000</v>
      </c>
    </row>
    <row r="53" spans="1:3" ht="15" x14ac:dyDescent="0.3">
      <c r="A53" s="263"/>
      <c r="B53" s="38">
        <v>44773</v>
      </c>
      <c r="C53" s="9">
        <v>6000</v>
      </c>
    </row>
    <row r="54" spans="1:3" ht="15" x14ac:dyDescent="0.3">
      <c r="A54" s="263"/>
      <c r="B54" s="38">
        <v>44865</v>
      </c>
      <c r="C54" s="9">
        <v>4000</v>
      </c>
    </row>
    <row r="55" spans="1:3" ht="15" x14ac:dyDescent="0.3">
      <c r="A55" s="264"/>
      <c r="B55" s="38">
        <v>44957</v>
      </c>
      <c r="C55" s="9">
        <v>8000</v>
      </c>
    </row>
    <row r="56" spans="1:3" ht="15" x14ac:dyDescent="0.3">
      <c r="A56" s="262" t="s">
        <v>50</v>
      </c>
      <c r="B56" s="37">
        <v>45046</v>
      </c>
      <c r="C56" s="9">
        <v>9000</v>
      </c>
    </row>
    <row r="57" spans="1:3" ht="15" x14ac:dyDescent="0.3">
      <c r="A57" s="263"/>
      <c r="B57" s="38">
        <v>45138</v>
      </c>
      <c r="C57" s="9">
        <v>10000</v>
      </c>
    </row>
    <row r="58" spans="1:3" ht="15" x14ac:dyDescent="0.3">
      <c r="A58" s="263"/>
      <c r="B58" s="38">
        <v>45230</v>
      </c>
      <c r="C58" s="9">
        <v>8000</v>
      </c>
    </row>
    <row r="59" spans="1:3" ht="15" x14ac:dyDescent="0.3">
      <c r="A59" s="264"/>
      <c r="B59" s="38">
        <v>45322</v>
      </c>
      <c r="C59" s="9">
        <v>15000</v>
      </c>
    </row>
    <row r="60" spans="1:3" ht="15" x14ac:dyDescent="0.3">
      <c r="A60" s="262" t="s">
        <v>51</v>
      </c>
      <c r="B60" s="37">
        <v>45412</v>
      </c>
      <c r="C60" s="10">
        <f>Q4</f>
        <v>10878.260869565216</v>
      </c>
    </row>
    <row r="61" spans="1:3" ht="15" x14ac:dyDescent="0.3">
      <c r="A61" s="263"/>
      <c r="B61" s="38">
        <v>45504</v>
      </c>
      <c r="C61" s="10">
        <f>R4</f>
        <v>12573.91304347826</v>
      </c>
    </row>
    <row r="62" spans="1:3" ht="15" x14ac:dyDescent="0.3">
      <c r="A62" s="263"/>
      <c r="B62" s="38">
        <v>45596</v>
      </c>
      <c r="C62" s="10">
        <f>S4</f>
        <v>9182.608695652174</v>
      </c>
    </row>
    <row r="63" spans="1:3" ht="15" x14ac:dyDescent="0.3">
      <c r="A63" s="264"/>
      <c r="B63" s="44">
        <v>45688</v>
      </c>
      <c r="C63" s="191">
        <f>T4</f>
        <v>17765.217391304348</v>
      </c>
    </row>
    <row r="64" spans="1:3" ht="15.5" x14ac:dyDescent="0.35">
      <c r="A64" s="262" t="s">
        <v>52</v>
      </c>
      <c r="B64" s="172">
        <v>45777</v>
      </c>
      <c r="C64" s="179">
        <f>_xlfn.FORECAST.LINEAR(B64,$C$52:$C$63,$B$52:$B$63)</f>
        <v>15497.982630842947</v>
      </c>
    </row>
    <row r="65" spans="1:3" ht="15.5" x14ac:dyDescent="0.35">
      <c r="A65" s="263"/>
      <c r="B65" s="173">
        <v>45869</v>
      </c>
      <c r="C65" s="180">
        <f>_xlfn.FORECAST.LINEAR(B65,$C$52:$C$63,$B$52:$B$63)</f>
        <v>16410.942814258393</v>
      </c>
    </row>
    <row r="66" spans="1:3" ht="15.5" x14ac:dyDescent="0.35">
      <c r="A66" s="264"/>
      <c r="B66" s="174">
        <v>45961</v>
      </c>
      <c r="C66" s="181">
        <f>_xlfn.FORECAST.LINEAR(B66,$C$52:$C$63,$B$52:$B$63)</f>
        <v>17323.902997673838</v>
      </c>
    </row>
    <row r="68" spans="1:3" ht="14.5" x14ac:dyDescent="0.35">
      <c r="A68" s="270" t="s">
        <v>9</v>
      </c>
      <c r="B68" s="270"/>
      <c r="C68" s="271"/>
    </row>
    <row r="69" spans="1:3" ht="14.5" x14ac:dyDescent="0.35">
      <c r="A69" s="31" t="s">
        <v>53</v>
      </c>
      <c r="B69" s="31" t="s">
        <v>54</v>
      </c>
      <c r="C69" s="31" t="s">
        <v>55</v>
      </c>
    </row>
    <row r="70" spans="1:3" ht="15" x14ac:dyDescent="0.3">
      <c r="A70" s="262" t="s">
        <v>49</v>
      </c>
      <c r="B70" s="37">
        <v>44681</v>
      </c>
      <c r="C70" s="12">
        <v>15000</v>
      </c>
    </row>
    <row r="71" spans="1:3" ht="15" x14ac:dyDescent="0.3">
      <c r="A71" s="263"/>
      <c r="B71" s="38">
        <v>44773</v>
      </c>
      <c r="C71" s="12">
        <v>15500</v>
      </c>
    </row>
    <row r="72" spans="1:3" ht="15" x14ac:dyDescent="0.3">
      <c r="A72" s="263"/>
      <c r="B72" s="38">
        <v>44865</v>
      </c>
      <c r="C72" s="12">
        <v>13000</v>
      </c>
    </row>
    <row r="73" spans="1:3" ht="15" x14ac:dyDescent="0.3">
      <c r="A73" s="264"/>
      <c r="B73" s="38">
        <v>44957</v>
      </c>
      <c r="C73" s="12">
        <v>18000</v>
      </c>
    </row>
    <row r="74" spans="1:3" ht="15" x14ac:dyDescent="0.3">
      <c r="A74" s="262" t="s">
        <v>50</v>
      </c>
      <c r="B74" s="37">
        <v>45046</v>
      </c>
      <c r="C74" s="12">
        <v>16000</v>
      </c>
    </row>
    <row r="75" spans="1:3" ht="15" x14ac:dyDescent="0.3">
      <c r="A75" s="263"/>
      <c r="B75" s="38">
        <v>45138</v>
      </c>
      <c r="C75" s="12">
        <v>18000</v>
      </c>
    </row>
    <row r="76" spans="1:3" ht="15" x14ac:dyDescent="0.3">
      <c r="A76" s="263"/>
      <c r="B76" s="38">
        <v>45230</v>
      </c>
      <c r="C76" s="12">
        <v>15000</v>
      </c>
    </row>
    <row r="77" spans="1:3" ht="15" x14ac:dyDescent="0.3">
      <c r="A77" s="264"/>
      <c r="B77" s="38">
        <v>45322</v>
      </c>
      <c r="C77" s="12">
        <v>20000</v>
      </c>
    </row>
    <row r="78" spans="1:3" ht="15" x14ac:dyDescent="0.3">
      <c r="A78" s="262" t="s">
        <v>51</v>
      </c>
      <c r="B78" s="37">
        <v>45412</v>
      </c>
      <c r="C78" s="13">
        <f>Q5</f>
        <v>19697.560975609758</v>
      </c>
    </row>
    <row r="79" spans="1:3" ht="15" x14ac:dyDescent="0.3">
      <c r="A79" s="263"/>
      <c r="B79" s="38">
        <v>45504</v>
      </c>
      <c r="C79" s="13">
        <f>R5</f>
        <v>21234.146341463413</v>
      </c>
    </row>
    <row r="80" spans="1:3" ht="15" x14ac:dyDescent="0.3">
      <c r="A80" s="263"/>
      <c r="B80" s="38">
        <v>45596</v>
      </c>
      <c r="C80" s="13">
        <f>S5</f>
        <v>17751.219512195123</v>
      </c>
    </row>
    <row r="81" spans="1:3" ht="15" x14ac:dyDescent="0.3">
      <c r="A81" s="264"/>
      <c r="B81" s="44">
        <v>45688</v>
      </c>
      <c r="C81" s="175">
        <f>T5</f>
        <v>24117.073170731706</v>
      </c>
    </row>
    <row r="82" spans="1:3" ht="15.5" x14ac:dyDescent="0.3">
      <c r="A82" s="262" t="s">
        <v>52</v>
      </c>
      <c r="B82" s="172">
        <v>45777</v>
      </c>
      <c r="C82" s="176">
        <f>_xlfn.FORECAST.LINEAR(B82,$C$70:$C$81,$B$70:$B$81)</f>
        <v>22210.710135669098</v>
      </c>
    </row>
    <row r="83" spans="1:3" ht="15.5" x14ac:dyDescent="0.3">
      <c r="A83" s="263"/>
      <c r="B83" s="173">
        <v>45869</v>
      </c>
      <c r="C83" s="177">
        <f>_xlfn.FORECAST.LINEAR(B83,$C$70:$C$81,$B$70:$B$81)</f>
        <v>22899.268064490636</v>
      </c>
    </row>
    <row r="84" spans="1:3" ht="15.5" x14ac:dyDescent="0.3">
      <c r="A84" s="264"/>
      <c r="B84" s="174">
        <v>45961</v>
      </c>
      <c r="C84" s="178">
        <f>_xlfn.FORECAST.LINEAR(B84,$C$70:$C$81,$B$70:$B$81)</f>
        <v>23587.825993312174</v>
      </c>
    </row>
    <row r="86" spans="1:3" ht="14.5" x14ac:dyDescent="0.35">
      <c r="A86" s="270" t="s">
        <v>10</v>
      </c>
      <c r="B86" s="270"/>
      <c r="C86" s="271"/>
    </row>
    <row r="87" spans="1:3" ht="14.5" x14ac:dyDescent="0.35">
      <c r="A87" s="31" t="s">
        <v>53</v>
      </c>
      <c r="B87" s="31" t="s">
        <v>54</v>
      </c>
      <c r="C87" s="31" t="s">
        <v>55</v>
      </c>
    </row>
    <row r="88" spans="1:3" ht="15" x14ac:dyDescent="0.3">
      <c r="A88" s="262" t="s">
        <v>49</v>
      </c>
      <c r="B88" s="37">
        <v>44681</v>
      </c>
      <c r="C88" s="14">
        <v>200000</v>
      </c>
    </row>
    <row r="89" spans="1:3" ht="15" x14ac:dyDescent="0.3">
      <c r="A89" s="263"/>
      <c r="B89" s="38">
        <v>44773</v>
      </c>
      <c r="C89" s="14">
        <v>180000</v>
      </c>
    </row>
    <row r="90" spans="1:3" ht="15" x14ac:dyDescent="0.3">
      <c r="A90" s="263"/>
      <c r="B90" s="38">
        <v>44865</v>
      </c>
      <c r="C90" s="14">
        <v>215000</v>
      </c>
    </row>
    <row r="91" spans="1:3" ht="15" x14ac:dyDescent="0.3">
      <c r="A91" s="264"/>
      <c r="B91" s="38">
        <v>44957</v>
      </c>
      <c r="C91" s="14">
        <v>220000</v>
      </c>
    </row>
    <row r="92" spans="1:3" ht="15" x14ac:dyDescent="0.3">
      <c r="A92" s="262" t="s">
        <v>50</v>
      </c>
      <c r="B92" s="37">
        <v>45046</v>
      </c>
      <c r="C92" s="14">
        <v>250000</v>
      </c>
    </row>
    <row r="93" spans="1:3" ht="15" x14ac:dyDescent="0.3">
      <c r="A93" s="263"/>
      <c r="B93" s="38">
        <v>45138</v>
      </c>
      <c r="C93" s="14">
        <v>260000</v>
      </c>
    </row>
    <row r="94" spans="1:3" ht="15" x14ac:dyDescent="0.3">
      <c r="A94" s="263"/>
      <c r="B94" s="38">
        <v>45230</v>
      </c>
      <c r="C94" s="14">
        <v>210000</v>
      </c>
    </row>
    <row r="95" spans="1:3" ht="15" x14ac:dyDescent="0.3">
      <c r="A95" s="264"/>
      <c r="B95" s="38">
        <v>45322</v>
      </c>
      <c r="C95" s="14">
        <v>260000</v>
      </c>
    </row>
    <row r="96" spans="1:3" ht="15" x14ac:dyDescent="0.3">
      <c r="A96" s="262" t="s">
        <v>51</v>
      </c>
      <c r="B96" s="37">
        <v>45412</v>
      </c>
      <c r="C96" s="15">
        <f>Q8</f>
        <v>294294.47852760734</v>
      </c>
    </row>
    <row r="97" spans="1:3" ht="15" x14ac:dyDescent="0.3">
      <c r="A97" s="263"/>
      <c r="B97" s="38">
        <v>45504</v>
      </c>
      <c r="C97" s="15">
        <f>R8</f>
        <v>285865.03067484661</v>
      </c>
    </row>
    <row r="98" spans="1:3" ht="15" x14ac:dyDescent="0.3">
      <c r="A98" s="263"/>
      <c r="B98" s="38">
        <v>45596</v>
      </c>
      <c r="C98" s="15">
        <f>S8</f>
        <v>281116.56441717787</v>
      </c>
    </row>
    <row r="99" spans="1:3" ht="15" x14ac:dyDescent="0.3">
      <c r="A99" s="264"/>
      <c r="B99" s="44">
        <v>45688</v>
      </c>
      <c r="C99" s="182">
        <f>T8</f>
        <v>314723.92638036812</v>
      </c>
    </row>
    <row r="100" spans="1:3" ht="15.5" x14ac:dyDescent="0.3">
      <c r="A100" s="262" t="s">
        <v>52</v>
      </c>
      <c r="B100" s="172">
        <v>45777</v>
      </c>
      <c r="C100" s="183">
        <f>_xlfn.FORECAST.LINEAR(B100,$C$88:$C$99,$B$88:$B$99)</f>
        <v>315986.84196159616</v>
      </c>
    </row>
    <row r="101" spans="1:3" ht="15.5" x14ac:dyDescent="0.3">
      <c r="A101" s="263"/>
      <c r="B101" s="173">
        <v>45869</v>
      </c>
      <c r="C101" s="184">
        <f>_xlfn.FORECAST.LINEAR(B101,$C$88:$C$99,$B$88:$B$99)</f>
        <v>326605.15938645601</v>
      </c>
    </row>
    <row r="102" spans="1:3" ht="15.5" x14ac:dyDescent="0.3">
      <c r="A102" s="264"/>
      <c r="B102" s="174">
        <v>45961</v>
      </c>
      <c r="C102" s="185">
        <f>_xlfn.FORECAST.LINEAR(B102,$C$88:$C$99,$B$88:$B$99)</f>
        <v>337223.47681131586</v>
      </c>
    </row>
    <row r="104" spans="1:3" ht="14.5" x14ac:dyDescent="0.35">
      <c r="A104" s="270" t="s">
        <v>33</v>
      </c>
      <c r="B104" s="270"/>
      <c r="C104" s="271"/>
    </row>
    <row r="105" spans="1:3" ht="14.5" x14ac:dyDescent="0.35">
      <c r="A105" s="31" t="s">
        <v>53</v>
      </c>
      <c r="B105" s="31" t="s">
        <v>54</v>
      </c>
      <c r="C105" s="31" t="s">
        <v>33</v>
      </c>
    </row>
    <row r="106" spans="1:3" ht="15" x14ac:dyDescent="0.3">
      <c r="A106" s="262" t="s">
        <v>49</v>
      </c>
      <c r="B106" s="37">
        <v>44681</v>
      </c>
      <c r="C106" s="8">
        <v>4.8</v>
      </c>
    </row>
    <row r="107" spans="1:3" ht="15" x14ac:dyDescent="0.3">
      <c r="A107" s="263"/>
      <c r="B107" s="38">
        <v>44773</v>
      </c>
      <c r="C107" s="8">
        <v>4.8499999999999996</v>
      </c>
    </row>
    <row r="108" spans="1:3" ht="15" x14ac:dyDescent="0.3">
      <c r="A108" s="263"/>
      <c r="B108" s="38">
        <v>44865</v>
      </c>
      <c r="C108" s="8">
        <v>4.8</v>
      </c>
    </row>
    <row r="109" spans="1:3" ht="15" x14ac:dyDescent="0.3">
      <c r="A109" s="264"/>
      <c r="B109" s="38">
        <v>44957</v>
      </c>
      <c r="C109" s="8">
        <v>4.75</v>
      </c>
    </row>
    <row r="110" spans="1:3" ht="15" x14ac:dyDescent="0.3">
      <c r="A110" s="262" t="s">
        <v>50</v>
      </c>
      <c r="B110" s="37">
        <v>45046</v>
      </c>
      <c r="C110" s="8">
        <v>4.7</v>
      </c>
    </row>
    <row r="111" spans="1:3" ht="15" x14ac:dyDescent="0.3">
      <c r="A111" s="263"/>
      <c r="B111" s="38">
        <v>45138</v>
      </c>
      <c r="C111" s="8">
        <v>4.68</v>
      </c>
    </row>
    <row r="112" spans="1:3" ht="15" x14ac:dyDescent="0.3">
      <c r="A112" s="263"/>
      <c r="B112" s="38">
        <v>45230</v>
      </c>
      <c r="C112" s="8">
        <v>4.5999999999999996</v>
      </c>
    </row>
    <row r="113" spans="1:3" ht="15" x14ac:dyDescent="0.3">
      <c r="A113" s="264"/>
      <c r="B113" s="38">
        <v>45322</v>
      </c>
      <c r="C113" s="8">
        <v>4.59</v>
      </c>
    </row>
    <row r="114" spans="1:3" ht="15" x14ac:dyDescent="0.3">
      <c r="A114" s="262" t="s">
        <v>51</v>
      </c>
      <c r="B114" s="37">
        <v>45412</v>
      </c>
      <c r="C114" s="8">
        <v>4.5</v>
      </c>
    </row>
    <row r="115" spans="1:3" ht="15" x14ac:dyDescent="0.3">
      <c r="A115" s="263"/>
      <c r="B115" s="38">
        <v>45504</v>
      </c>
      <c r="C115" s="8">
        <v>4.5</v>
      </c>
    </row>
    <row r="116" spans="1:3" ht="15" x14ac:dyDescent="0.3">
      <c r="A116" s="263"/>
      <c r="B116" s="38">
        <v>45596</v>
      </c>
      <c r="C116" s="8">
        <v>4.5</v>
      </c>
    </row>
    <row r="117" spans="1:3" ht="15" x14ac:dyDescent="0.3">
      <c r="A117" s="264"/>
      <c r="B117" s="44">
        <v>45688</v>
      </c>
      <c r="C117" s="186">
        <v>4.5</v>
      </c>
    </row>
    <row r="118" spans="1:3" ht="15.5" x14ac:dyDescent="0.3">
      <c r="A118" s="262" t="s">
        <v>52</v>
      </c>
      <c r="B118" s="172">
        <v>45777</v>
      </c>
      <c r="C118" s="187">
        <f>_xlfn.FORECAST.LINEAR(B118,$C$106:$C$117,$B$106:$B$117)</f>
        <v>4.4161945644440799</v>
      </c>
    </row>
    <row r="119" spans="1:3" ht="15.5" x14ac:dyDescent="0.3">
      <c r="A119" s="263"/>
      <c r="B119" s="173">
        <v>45869</v>
      </c>
      <c r="C119" s="188">
        <f>_xlfn.FORECAST.LINEAR(B119,$C$106:$C$117,$B$106:$B$117)</f>
        <v>4.3802888837841074</v>
      </c>
    </row>
    <row r="120" spans="1:3" ht="15.5" x14ac:dyDescent="0.3">
      <c r="A120" s="264"/>
      <c r="B120" s="174">
        <v>45961</v>
      </c>
      <c r="C120" s="189">
        <f>_xlfn.FORECAST.LINEAR(B120,$C$106:$C$117,$B$106:$B$117)</f>
        <v>4.3443832031241314</v>
      </c>
    </row>
    <row r="122" spans="1:3" ht="14.5" x14ac:dyDescent="0.35">
      <c r="A122" s="270" t="s">
        <v>34</v>
      </c>
      <c r="B122" s="270"/>
      <c r="C122" s="271"/>
    </row>
    <row r="123" spans="1:3" ht="14.5" x14ac:dyDescent="0.35">
      <c r="A123" s="31" t="s">
        <v>53</v>
      </c>
      <c r="B123" s="31" t="s">
        <v>54</v>
      </c>
      <c r="C123" s="31" t="s">
        <v>34</v>
      </c>
    </row>
    <row r="124" spans="1:3" ht="15" x14ac:dyDescent="0.3">
      <c r="A124" s="262" t="s">
        <v>49</v>
      </c>
      <c r="B124" s="37">
        <v>44681</v>
      </c>
      <c r="C124" s="8">
        <v>1.7</v>
      </c>
    </row>
    <row r="125" spans="1:3" ht="15" x14ac:dyDescent="0.3">
      <c r="A125" s="263"/>
      <c r="B125" s="38">
        <v>44773</v>
      </c>
      <c r="C125" s="8">
        <v>1.78</v>
      </c>
    </row>
    <row r="126" spans="1:3" ht="15" x14ac:dyDescent="0.3">
      <c r="A126" s="263"/>
      <c r="B126" s="38">
        <v>44865</v>
      </c>
      <c r="C126" s="8">
        <v>1.8</v>
      </c>
    </row>
    <row r="127" spans="1:3" ht="15" x14ac:dyDescent="0.3">
      <c r="A127" s="264"/>
      <c r="B127" s="38">
        <v>44957</v>
      </c>
      <c r="C127" s="8">
        <v>1.81</v>
      </c>
    </row>
    <row r="128" spans="1:3" ht="15" x14ac:dyDescent="0.3">
      <c r="A128" s="262" t="s">
        <v>50</v>
      </c>
      <c r="B128" s="37">
        <v>45046</v>
      </c>
      <c r="C128" s="8">
        <v>1.78</v>
      </c>
    </row>
    <row r="129" spans="1:3" ht="15" x14ac:dyDescent="0.3">
      <c r="A129" s="263"/>
      <c r="B129" s="38">
        <v>45138</v>
      </c>
      <c r="C129" s="8">
        <v>1.7</v>
      </c>
    </row>
    <row r="130" spans="1:3" ht="15" x14ac:dyDescent="0.3">
      <c r="A130" s="263"/>
      <c r="B130" s="38">
        <v>45230</v>
      </c>
      <c r="C130" s="8">
        <v>1.6</v>
      </c>
    </row>
    <row r="131" spans="1:3" ht="15" x14ac:dyDescent="0.3">
      <c r="A131" s="264"/>
      <c r="B131" s="38">
        <v>45322</v>
      </c>
      <c r="C131" s="8">
        <v>1.53</v>
      </c>
    </row>
    <row r="132" spans="1:3" ht="15" x14ac:dyDescent="0.3">
      <c r="A132" s="262" t="s">
        <v>51</v>
      </c>
      <c r="B132" s="37">
        <v>45412</v>
      </c>
      <c r="C132" s="8">
        <v>1.5</v>
      </c>
    </row>
    <row r="133" spans="1:3" ht="15" x14ac:dyDescent="0.3">
      <c r="A133" s="263"/>
      <c r="B133" s="38">
        <v>45504</v>
      </c>
      <c r="C133" s="8">
        <v>1.48</v>
      </c>
    </row>
    <row r="134" spans="1:3" ht="15" x14ac:dyDescent="0.3">
      <c r="A134" s="263"/>
      <c r="B134" s="38">
        <v>45596</v>
      </c>
      <c r="C134" s="8">
        <v>1.46</v>
      </c>
    </row>
    <row r="135" spans="1:3" ht="15" x14ac:dyDescent="0.3">
      <c r="A135" s="264"/>
      <c r="B135" s="44">
        <v>45688</v>
      </c>
      <c r="C135" s="186">
        <v>1.45</v>
      </c>
    </row>
    <row r="136" spans="1:3" ht="15.5" x14ac:dyDescent="0.3">
      <c r="A136" s="262" t="s">
        <v>52</v>
      </c>
      <c r="B136" s="172">
        <v>45777</v>
      </c>
      <c r="C136" s="187">
        <f>_xlfn.FORECAST.LINEAR(B136,$C$124:$C$135,$B$124:$B$135)</f>
        <v>1.399801725541451</v>
      </c>
    </row>
    <row r="137" spans="1:3" ht="15.5" x14ac:dyDescent="0.3">
      <c r="A137" s="263"/>
      <c r="B137" s="173">
        <v>45869</v>
      </c>
      <c r="C137" s="188">
        <f t="shared" ref="C137:C138" si="4">_xlfn.FORECAST.LINEAR(B137,$C$124:$C$135,$B$124:$B$135)</f>
        <v>1.3636798336682432</v>
      </c>
    </row>
    <row r="138" spans="1:3" ht="15.5" x14ac:dyDescent="0.3">
      <c r="A138" s="264"/>
      <c r="B138" s="174">
        <v>45961</v>
      </c>
      <c r="C138" s="189">
        <f t="shared" si="4"/>
        <v>1.3275579417950389</v>
      </c>
    </row>
  </sheetData>
  <mergeCells count="37">
    <mergeCell ref="A136:A138"/>
    <mergeCell ref="A114:A117"/>
    <mergeCell ref="A118:A120"/>
    <mergeCell ref="A122:C122"/>
    <mergeCell ref="A124:A127"/>
    <mergeCell ref="A128:A131"/>
    <mergeCell ref="A132:A135"/>
    <mergeCell ref="A110:A113"/>
    <mergeCell ref="A70:A73"/>
    <mergeCell ref="A74:A77"/>
    <mergeCell ref="A78:A81"/>
    <mergeCell ref="A82:A84"/>
    <mergeCell ref="A86:C86"/>
    <mergeCell ref="A88:A91"/>
    <mergeCell ref="A92:A95"/>
    <mergeCell ref="A96:A99"/>
    <mergeCell ref="A100:A102"/>
    <mergeCell ref="A104:C104"/>
    <mergeCell ref="A106:A109"/>
    <mergeCell ref="A68:C68"/>
    <mergeCell ref="A28:A30"/>
    <mergeCell ref="A32:C32"/>
    <mergeCell ref="A34:A37"/>
    <mergeCell ref="A38:A41"/>
    <mergeCell ref="A42:A45"/>
    <mergeCell ref="A46:A48"/>
    <mergeCell ref="A50:C50"/>
    <mergeCell ref="A52:A55"/>
    <mergeCell ref="A56:A59"/>
    <mergeCell ref="A60:A63"/>
    <mergeCell ref="A64:A66"/>
    <mergeCell ref="A24:A27"/>
    <mergeCell ref="A1:B1"/>
    <mergeCell ref="A2:D9"/>
    <mergeCell ref="A14:C14"/>
    <mergeCell ref="A16:A19"/>
    <mergeCell ref="A20:A2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4BA87-D404-4982-AEB3-0D70D2809EEA}">
  <dimension ref="A1:T138"/>
  <sheetViews>
    <sheetView topLeftCell="B1" zoomScale="110" zoomScaleNormal="110" workbookViewId="0">
      <selection activeCell="C138" sqref="C138"/>
    </sheetView>
  </sheetViews>
  <sheetFormatPr defaultRowHeight="14" x14ac:dyDescent="0.3"/>
  <cols>
    <col min="1" max="1" width="12.25" customWidth="1"/>
    <col min="2" max="2" width="14.5" customWidth="1"/>
    <col min="3" max="3" width="43.75" customWidth="1"/>
    <col min="4" max="4" width="22" customWidth="1"/>
    <col min="5" max="5" width="11.33203125" customWidth="1"/>
    <col min="6" max="6" width="13.75" customWidth="1"/>
    <col min="7" max="7" width="18.5" customWidth="1"/>
    <col min="8" max="8" width="12.83203125" customWidth="1"/>
    <col min="9" max="9" width="16.25" customWidth="1"/>
    <col min="10" max="10" width="14.58203125" customWidth="1"/>
    <col min="11" max="11" width="13.33203125" customWidth="1"/>
    <col min="12" max="12" width="16.75" customWidth="1"/>
    <col min="13" max="13" width="13" customWidth="1"/>
    <col min="14" max="14" width="11.83203125" customWidth="1"/>
    <col min="15" max="15" width="12.5" customWidth="1"/>
    <col min="16" max="16" width="12.75" customWidth="1"/>
    <col min="17" max="17" width="14" customWidth="1"/>
    <col min="18" max="18" width="13.5" customWidth="1"/>
    <col min="19" max="19" width="12" customWidth="1"/>
    <col min="20" max="20" width="12.75" customWidth="1"/>
  </cols>
  <sheetData>
    <row r="1" spans="1:20" ht="15.5" x14ac:dyDescent="0.35">
      <c r="A1" s="267"/>
      <c r="B1" s="268"/>
      <c r="F1" s="6" t="s">
        <v>14</v>
      </c>
      <c r="G1" s="6"/>
      <c r="H1" s="6" t="s">
        <v>35</v>
      </c>
      <c r="I1" s="7" t="s">
        <v>85</v>
      </c>
      <c r="J1" s="7" t="s">
        <v>17</v>
      </c>
      <c r="K1" s="7" t="s">
        <v>18</v>
      </c>
      <c r="L1" s="7" t="s">
        <v>19</v>
      </c>
      <c r="M1" s="7" t="s">
        <v>20</v>
      </c>
      <c r="N1" s="7" t="s">
        <v>21</v>
      </c>
      <c r="O1" s="7" t="s">
        <v>22</v>
      </c>
      <c r="P1" s="7" t="s">
        <v>23</v>
      </c>
      <c r="Q1" s="7" t="s">
        <v>28</v>
      </c>
      <c r="R1" s="7" t="s">
        <v>26</v>
      </c>
      <c r="S1" s="7" t="s">
        <v>29</v>
      </c>
      <c r="T1" s="7" t="s">
        <v>30</v>
      </c>
    </row>
    <row r="2" spans="1:20" ht="15" x14ac:dyDescent="0.3">
      <c r="A2" s="269" t="s">
        <v>68</v>
      </c>
      <c r="B2" s="269"/>
      <c r="C2" s="269"/>
      <c r="D2" s="269"/>
      <c r="F2" s="7" t="s">
        <v>0</v>
      </c>
      <c r="G2" s="8" t="s">
        <v>1</v>
      </c>
      <c r="H2" s="9">
        <v>250000</v>
      </c>
      <c r="I2" s="9">
        <v>50000</v>
      </c>
      <c r="J2" s="9">
        <v>55000</v>
      </c>
      <c r="K2" s="9">
        <v>45000</v>
      </c>
      <c r="L2" s="9">
        <v>60000</v>
      </c>
      <c r="M2" s="9">
        <v>50000</v>
      </c>
      <c r="N2" s="9">
        <v>55000</v>
      </c>
      <c r="O2" s="9">
        <v>45000</v>
      </c>
      <c r="P2" s="9">
        <v>60000</v>
      </c>
      <c r="Q2" s="10">
        <f>'Seasonal Forcast for 2024'!R2</f>
        <v>60000</v>
      </c>
      <c r="R2" s="10">
        <f>'Seasonal Forcast for 2024'!S2</f>
        <v>66000</v>
      </c>
      <c r="S2" s="10">
        <f>'Seasonal Forcast for 2024'!T2</f>
        <v>54000</v>
      </c>
      <c r="T2" s="10">
        <f>'Seasonal Forcast for 2024'!U2</f>
        <v>72000</v>
      </c>
    </row>
    <row r="3" spans="1:20" ht="15" x14ac:dyDescent="0.3">
      <c r="A3" s="269"/>
      <c r="B3" s="269"/>
      <c r="C3" s="269"/>
      <c r="D3" s="269"/>
      <c r="F3" s="7" t="s">
        <v>2</v>
      </c>
      <c r="G3" s="8" t="s">
        <v>1</v>
      </c>
      <c r="H3" s="9">
        <v>100000</v>
      </c>
      <c r="I3" s="9">
        <v>20000</v>
      </c>
      <c r="J3" s="9">
        <v>22000</v>
      </c>
      <c r="K3" s="9">
        <f>18000</f>
        <v>18000</v>
      </c>
      <c r="L3" s="9">
        <f>25000</f>
        <v>25000</v>
      </c>
      <c r="M3" s="9">
        <v>22000</v>
      </c>
      <c r="N3" s="9">
        <v>25000</v>
      </c>
      <c r="O3" s="9">
        <v>20000</v>
      </c>
      <c r="P3" s="9">
        <v>28000</v>
      </c>
      <c r="Q3" s="10">
        <f>'Seasonal Forcast for 2024'!R3</f>
        <v>26611.764705882353</v>
      </c>
      <c r="R3" s="10">
        <f>'Seasonal Forcast for 2024'!S3</f>
        <v>29752.941176470587</v>
      </c>
      <c r="S3" s="10">
        <f>'Seasonal Forcast for 2024'!T3</f>
        <v>24070.588235294119</v>
      </c>
      <c r="T3" s="10">
        <f>'Seasonal Forcast for 2024'!U3</f>
        <v>33564.705882352937</v>
      </c>
    </row>
    <row r="4" spans="1:20" ht="15" x14ac:dyDescent="0.3">
      <c r="A4" s="269"/>
      <c r="B4" s="269"/>
      <c r="C4" s="269"/>
      <c r="D4" s="269"/>
      <c r="F4" s="7" t="s">
        <v>4</v>
      </c>
      <c r="G4" s="8" t="s">
        <v>1</v>
      </c>
      <c r="H4" s="9">
        <v>25000</v>
      </c>
      <c r="I4" s="9">
        <v>5000</v>
      </c>
      <c r="J4" s="9">
        <v>6000</v>
      </c>
      <c r="K4" s="9">
        <v>4000</v>
      </c>
      <c r="L4" s="9">
        <v>8000</v>
      </c>
      <c r="M4" s="9">
        <v>9000</v>
      </c>
      <c r="N4" s="9">
        <v>10000</v>
      </c>
      <c r="O4" s="9">
        <v>8000</v>
      </c>
      <c r="P4" s="9">
        <v>15000</v>
      </c>
      <c r="Q4" s="10">
        <f>'Seasonal Forcast for 2024'!R4</f>
        <v>10878.260869565216</v>
      </c>
      <c r="R4" s="10">
        <f>'Seasonal Forcast for 2024'!S4</f>
        <v>12573.91304347826</v>
      </c>
      <c r="S4" s="10">
        <f>'Seasonal Forcast for 2024'!T4</f>
        <v>9182.608695652174</v>
      </c>
      <c r="T4" s="10">
        <f>'Seasonal Forcast for 2024'!U4</f>
        <v>17765.217391304348</v>
      </c>
    </row>
    <row r="5" spans="1:20" ht="15" x14ac:dyDescent="0.3">
      <c r="A5" s="269"/>
      <c r="B5" s="269"/>
      <c r="C5" s="269"/>
      <c r="D5" s="269"/>
      <c r="F5" s="7" t="s">
        <v>9</v>
      </c>
      <c r="G5" s="8" t="s">
        <v>1</v>
      </c>
      <c r="H5" s="12">
        <v>150000</v>
      </c>
      <c r="I5" s="12">
        <v>15000</v>
      </c>
      <c r="J5" s="12">
        <v>15500</v>
      </c>
      <c r="K5" s="12">
        <v>13000</v>
      </c>
      <c r="L5" s="12">
        <v>18000</v>
      </c>
      <c r="M5" s="12">
        <v>16000</v>
      </c>
      <c r="N5" s="12">
        <v>18000</v>
      </c>
      <c r="O5" s="12">
        <v>15000</v>
      </c>
      <c r="P5" s="12">
        <v>20000</v>
      </c>
      <c r="Q5" s="13">
        <f>'Seasonal Forcast for 2024'!R5</f>
        <v>19697.560975609758</v>
      </c>
      <c r="R5" s="13">
        <f>'Seasonal Forcast for 2024'!S5</f>
        <v>21234.146341463413</v>
      </c>
      <c r="S5" s="13">
        <f>'Seasonal Forcast for 2024'!T5</f>
        <v>17751.219512195123</v>
      </c>
      <c r="T5" s="13">
        <f>'Seasonal Forcast for 2024'!U5</f>
        <v>24117.073170731706</v>
      </c>
    </row>
    <row r="6" spans="1:20" ht="15" x14ac:dyDescent="0.3">
      <c r="A6" s="269"/>
      <c r="B6" s="269"/>
      <c r="C6" s="269"/>
      <c r="D6" s="269"/>
      <c r="F6" s="7"/>
      <c r="G6" s="8" t="s">
        <v>33</v>
      </c>
      <c r="H6" s="8">
        <v>4.8</v>
      </c>
      <c r="I6" s="8">
        <v>4.8</v>
      </c>
      <c r="J6" s="8">
        <v>4.8499999999999996</v>
      </c>
      <c r="K6" s="8">
        <v>4.8</v>
      </c>
      <c r="L6" s="8">
        <v>4.75</v>
      </c>
      <c r="M6" s="8">
        <v>4.7</v>
      </c>
      <c r="N6" s="8">
        <v>4.68</v>
      </c>
      <c r="O6" s="8">
        <v>4.5999999999999996</v>
      </c>
      <c r="P6" s="8">
        <v>4.59</v>
      </c>
      <c r="Q6" s="8">
        <v>4.5</v>
      </c>
      <c r="R6" s="8">
        <v>4.5</v>
      </c>
      <c r="S6" s="8">
        <v>4.5</v>
      </c>
      <c r="T6" s="8">
        <v>4.5</v>
      </c>
    </row>
    <row r="7" spans="1:20" ht="15" x14ac:dyDescent="0.3">
      <c r="A7" s="269"/>
      <c r="B7" s="269"/>
      <c r="C7" s="269"/>
      <c r="D7" s="269"/>
      <c r="F7" s="7"/>
      <c r="G7" s="8" t="s">
        <v>3</v>
      </c>
      <c r="H7" s="9">
        <f>H5*H6</f>
        <v>720000</v>
      </c>
      <c r="I7" s="9">
        <f>I5*I6</f>
        <v>72000</v>
      </c>
      <c r="J7" s="9">
        <f t="shared" ref="J7:P7" si="0">J5*J6</f>
        <v>75175</v>
      </c>
      <c r="K7" s="9">
        <f t="shared" si="0"/>
        <v>62400</v>
      </c>
      <c r="L7" s="9">
        <f t="shared" si="0"/>
        <v>85500</v>
      </c>
      <c r="M7" s="9">
        <f t="shared" si="0"/>
        <v>75200</v>
      </c>
      <c r="N7" s="9">
        <f t="shared" si="0"/>
        <v>84240</v>
      </c>
      <c r="O7" s="9">
        <f t="shared" si="0"/>
        <v>69000</v>
      </c>
      <c r="P7" s="9">
        <f t="shared" si="0"/>
        <v>91800</v>
      </c>
      <c r="Q7" s="10">
        <f>Q5*Q6</f>
        <v>88639.024390243911</v>
      </c>
      <c r="R7" s="10">
        <f t="shared" ref="R7:T7" si="1">R5*R6</f>
        <v>95553.658536585353</v>
      </c>
      <c r="S7" s="10">
        <f t="shared" si="1"/>
        <v>79880.487804878052</v>
      </c>
      <c r="T7" s="10">
        <f t="shared" si="1"/>
        <v>108526.82926829268</v>
      </c>
    </row>
    <row r="8" spans="1:20" ht="15" x14ac:dyDescent="0.3">
      <c r="A8" s="269"/>
      <c r="B8" s="269"/>
      <c r="C8" s="269"/>
      <c r="D8" s="269"/>
      <c r="F8" s="7" t="s">
        <v>10</v>
      </c>
      <c r="G8" s="8" t="s">
        <v>1</v>
      </c>
      <c r="H8" s="14">
        <v>100000</v>
      </c>
      <c r="I8" s="14">
        <v>200000</v>
      </c>
      <c r="J8" s="14">
        <v>180000</v>
      </c>
      <c r="K8" s="14">
        <v>215000</v>
      </c>
      <c r="L8" s="14">
        <v>220000</v>
      </c>
      <c r="M8" s="14">
        <v>250000</v>
      </c>
      <c r="N8" s="14">
        <v>260000</v>
      </c>
      <c r="O8" s="14">
        <v>210000</v>
      </c>
      <c r="P8" s="14">
        <v>260000</v>
      </c>
      <c r="Q8" s="15">
        <f>'Seasonal Forcast for 2024'!R8</f>
        <v>294294.47852760734</v>
      </c>
      <c r="R8" s="15">
        <f>'Seasonal Forcast for 2024'!S8</f>
        <v>285865.03067484661</v>
      </c>
      <c r="S8" s="15">
        <f>'Seasonal Forcast for 2024'!T8</f>
        <v>281116.56441717787</v>
      </c>
      <c r="T8" s="15">
        <f>'Seasonal Forcast for 2024'!U8</f>
        <v>314723.92638036812</v>
      </c>
    </row>
    <row r="9" spans="1:20" ht="15" x14ac:dyDescent="0.3">
      <c r="A9" s="269"/>
      <c r="B9" s="269"/>
      <c r="C9" s="269"/>
      <c r="D9" s="269"/>
      <c r="F9" s="7"/>
      <c r="G9" s="8" t="s">
        <v>34</v>
      </c>
      <c r="H9" s="8">
        <v>1.7</v>
      </c>
      <c r="I9" s="8">
        <v>1.7</v>
      </c>
      <c r="J9" s="8">
        <v>1.78</v>
      </c>
      <c r="K9" s="8">
        <v>1.8</v>
      </c>
      <c r="L9" s="8">
        <v>1.81</v>
      </c>
      <c r="M9" s="8">
        <v>1.78</v>
      </c>
      <c r="N9" s="8">
        <v>1.7</v>
      </c>
      <c r="O9" s="8">
        <v>1.6</v>
      </c>
      <c r="P9" s="8">
        <v>1.53</v>
      </c>
      <c r="Q9" s="8">
        <v>1.5</v>
      </c>
      <c r="R9" s="8">
        <v>1.48</v>
      </c>
      <c r="S9" s="8">
        <v>1.46</v>
      </c>
      <c r="T9" s="8">
        <v>1.45</v>
      </c>
    </row>
    <row r="10" spans="1:20" ht="15" x14ac:dyDescent="0.3">
      <c r="B10" s="25"/>
      <c r="F10" s="7"/>
      <c r="G10" s="8" t="s">
        <v>3</v>
      </c>
      <c r="H10" s="8"/>
      <c r="I10" s="24">
        <f>I8*I9</f>
        <v>340000</v>
      </c>
      <c r="J10" s="24">
        <f t="shared" ref="J10:P10" si="2">J8*J9</f>
        <v>320400</v>
      </c>
      <c r="K10" s="24">
        <f t="shared" si="2"/>
        <v>387000</v>
      </c>
      <c r="L10" s="24">
        <f t="shared" si="2"/>
        <v>398200</v>
      </c>
      <c r="M10" s="24">
        <f t="shared" si="2"/>
        <v>445000</v>
      </c>
      <c r="N10" s="24">
        <f t="shared" si="2"/>
        <v>442000</v>
      </c>
      <c r="O10" s="24">
        <f t="shared" si="2"/>
        <v>336000</v>
      </c>
      <c r="P10" s="24">
        <f t="shared" si="2"/>
        <v>397800</v>
      </c>
      <c r="Q10" s="10">
        <f>Q8*Q9</f>
        <v>441441.71779141098</v>
      </c>
      <c r="R10" s="10">
        <f t="shared" ref="R10:T10" si="3">R8*R9</f>
        <v>423080.245398773</v>
      </c>
      <c r="S10" s="10">
        <f t="shared" si="3"/>
        <v>410430.18404907966</v>
      </c>
      <c r="T10" s="10">
        <f t="shared" si="3"/>
        <v>456349.69325153378</v>
      </c>
    </row>
    <row r="11" spans="1:20" ht="14.5" x14ac:dyDescent="0.35">
      <c r="B11" s="25"/>
      <c r="D11" s="27"/>
    </row>
    <row r="12" spans="1:20" x14ac:dyDescent="0.3">
      <c r="B12" s="25"/>
    </row>
    <row r="13" spans="1:20" x14ac:dyDescent="0.3">
      <c r="A13" s="30"/>
      <c r="B13" s="32"/>
      <c r="C13" s="30"/>
    </row>
    <row r="14" spans="1:20" ht="14.5" x14ac:dyDescent="0.35">
      <c r="A14" s="270" t="s">
        <v>0</v>
      </c>
      <c r="B14" s="270"/>
      <c r="C14" s="271"/>
    </row>
    <row r="15" spans="1:20" s="29" customFormat="1" ht="14.5" x14ac:dyDescent="0.35">
      <c r="A15" s="31" t="s">
        <v>53</v>
      </c>
      <c r="B15" s="31" t="s">
        <v>54</v>
      </c>
      <c r="C15" s="31" t="s">
        <v>55</v>
      </c>
    </row>
    <row r="16" spans="1:20" ht="15" x14ac:dyDescent="0.3">
      <c r="A16" s="262" t="s">
        <v>49</v>
      </c>
      <c r="B16" s="37">
        <v>44681</v>
      </c>
      <c r="C16" s="33">
        <v>50000</v>
      </c>
    </row>
    <row r="17" spans="1:3" ht="15" x14ac:dyDescent="0.3">
      <c r="A17" s="263"/>
      <c r="B17" s="38">
        <v>44773</v>
      </c>
      <c r="C17" s="34">
        <v>55000</v>
      </c>
    </row>
    <row r="18" spans="1:3" ht="15" x14ac:dyDescent="0.3">
      <c r="A18" s="263"/>
      <c r="B18" s="38">
        <v>44865</v>
      </c>
      <c r="C18" s="34">
        <v>45000</v>
      </c>
    </row>
    <row r="19" spans="1:3" ht="15" x14ac:dyDescent="0.3">
      <c r="A19" s="264"/>
      <c r="B19" s="38">
        <v>44957</v>
      </c>
      <c r="C19" s="35">
        <v>60000</v>
      </c>
    </row>
    <row r="20" spans="1:3" ht="15" x14ac:dyDescent="0.3">
      <c r="A20" s="262" t="s">
        <v>50</v>
      </c>
      <c r="B20" s="37">
        <v>45046</v>
      </c>
      <c r="C20" s="34">
        <v>50000</v>
      </c>
    </row>
    <row r="21" spans="1:3" ht="15" x14ac:dyDescent="0.3">
      <c r="A21" s="263"/>
      <c r="B21" s="38">
        <v>45138</v>
      </c>
      <c r="C21" s="34">
        <v>55000</v>
      </c>
    </row>
    <row r="22" spans="1:3" ht="15" x14ac:dyDescent="0.3">
      <c r="A22" s="263"/>
      <c r="B22" s="38">
        <v>45230</v>
      </c>
      <c r="C22" s="34">
        <v>45000</v>
      </c>
    </row>
    <row r="23" spans="1:3" ht="15" x14ac:dyDescent="0.3">
      <c r="A23" s="264"/>
      <c r="B23" s="38">
        <v>45322</v>
      </c>
      <c r="C23" s="35">
        <v>60000</v>
      </c>
    </row>
    <row r="24" spans="1:3" ht="15" x14ac:dyDescent="0.3">
      <c r="A24" s="262" t="s">
        <v>51</v>
      </c>
      <c r="B24" s="37">
        <v>45412</v>
      </c>
      <c r="C24" s="36">
        <f>Q2</f>
        <v>60000</v>
      </c>
    </row>
    <row r="25" spans="1:3" ht="15" x14ac:dyDescent="0.3">
      <c r="A25" s="263"/>
      <c r="B25" s="38">
        <v>45504</v>
      </c>
      <c r="C25" s="36">
        <f>R2</f>
        <v>66000</v>
      </c>
    </row>
    <row r="26" spans="1:3" ht="15" x14ac:dyDescent="0.3">
      <c r="A26" s="263"/>
      <c r="B26" s="38">
        <v>45596</v>
      </c>
      <c r="C26" s="36">
        <f>S2</f>
        <v>54000</v>
      </c>
    </row>
    <row r="27" spans="1:3" ht="15" x14ac:dyDescent="0.3">
      <c r="A27" s="264"/>
      <c r="B27" s="38">
        <v>45688</v>
      </c>
      <c r="C27" s="171">
        <f>T2</f>
        <v>72000</v>
      </c>
    </row>
    <row r="28" spans="1:3" ht="15.5" x14ac:dyDescent="0.35">
      <c r="A28" s="262" t="s">
        <v>52</v>
      </c>
      <c r="B28" s="172">
        <v>45777</v>
      </c>
      <c r="C28" s="179">
        <f>62553.557</f>
        <v>62553.557000000001</v>
      </c>
    </row>
    <row r="29" spans="1:3" ht="15.5" x14ac:dyDescent="0.35">
      <c r="A29" s="263"/>
      <c r="B29" s="173">
        <v>45869</v>
      </c>
      <c r="C29" s="180">
        <f>71895.309</f>
        <v>71895.308999999994</v>
      </c>
    </row>
    <row r="30" spans="1:3" ht="15.5" x14ac:dyDescent="0.35">
      <c r="A30" s="264"/>
      <c r="B30" s="174">
        <v>45961</v>
      </c>
      <c r="C30" s="181">
        <f>62657.088</f>
        <v>62657.088000000003</v>
      </c>
    </row>
    <row r="31" spans="1:3" ht="14.5" x14ac:dyDescent="0.3">
      <c r="A31" s="42"/>
      <c r="B31" s="40"/>
      <c r="C31" s="190"/>
    </row>
    <row r="32" spans="1:3" ht="14.5" x14ac:dyDescent="0.35">
      <c r="A32" s="270" t="s">
        <v>2</v>
      </c>
      <c r="B32" s="270"/>
      <c r="C32" s="271"/>
    </row>
    <row r="33" spans="1:20" ht="14.5" x14ac:dyDescent="0.35">
      <c r="A33" s="31" t="s">
        <v>53</v>
      </c>
      <c r="B33" s="31" t="s">
        <v>54</v>
      </c>
      <c r="C33" s="31" t="s">
        <v>55</v>
      </c>
      <c r="D33" s="39"/>
    </row>
    <row r="34" spans="1:20" ht="15" x14ac:dyDescent="0.3">
      <c r="A34" s="262" t="s">
        <v>49</v>
      </c>
      <c r="B34" s="37">
        <v>44681</v>
      </c>
      <c r="C34" s="9">
        <v>20000</v>
      </c>
    </row>
    <row r="35" spans="1:20" ht="15" x14ac:dyDescent="0.3">
      <c r="A35" s="263"/>
      <c r="B35" s="38">
        <v>44773</v>
      </c>
      <c r="C35" s="9">
        <v>22000</v>
      </c>
    </row>
    <row r="36" spans="1:20" ht="15" x14ac:dyDescent="0.3">
      <c r="A36" s="263"/>
      <c r="B36" s="38">
        <v>44865</v>
      </c>
      <c r="C36" s="9">
        <f>18000</f>
        <v>18000</v>
      </c>
    </row>
    <row r="37" spans="1:20" ht="15" x14ac:dyDescent="0.3">
      <c r="A37" s="264"/>
      <c r="B37" s="38">
        <v>44957</v>
      </c>
      <c r="C37" s="9">
        <f>25000</f>
        <v>25000</v>
      </c>
      <c r="M37" s="5"/>
      <c r="N37" s="5"/>
      <c r="O37" s="5"/>
      <c r="P37" s="5"/>
      <c r="Q37" s="5"/>
      <c r="R37" s="5"/>
      <c r="S37" s="5"/>
      <c r="T37" s="5"/>
    </row>
    <row r="38" spans="1:20" ht="15" x14ac:dyDescent="0.3">
      <c r="A38" s="262" t="s">
        <v>50</v>
      </c>
      <c r="B38" s="37">
        <v>45046</v>
      </c>
      <c r="C38" s="9">
        <v>22000</v>
      </c>
      <c r="L38" s="2"/>
      <c r="M38" s="28"/>
      <c r="N38" s="28"/>
      <c r="O38" s="28"/>
      <c r="P38" s="28"/>
      <c r="Q38" s="28"/>
      <c r="R38" s="28"/>
      <c r="S38" s="28"/>
      <c r="T38" s="28"/>
    </row>
    <row r="39" spans="1:20" ht="15" x14ac:dyDescent="0.3">
      <c r="A39" s="263"/>
      <c r="B39" s="38">
        <v>45138</v>
      </c>
      <c r="C39" s="9">
        <v>25000</v>
      </c>
      <c r="L39" s="2"/>
      <c r="M39" s="28"/>
      <c r="N39" s="28"/>
      <c r="O39" s="28"/>
      <c r="P39" s="28"/>
      <c r="Q39" s="28"/>
      <c r="R39" s="28"/>
      <c r="S39" s="28"/>
      <c r="T39" s="28"/>
    </row>
    <row r="40" spans="1:20" ht="15" x14ac:dyDescent="0.3">
      <c r="A40" s="263"/>
      <c r="B40" s="38">
        <v>45230</v>
      </c>
      <c r="C40" s="9">
        <v>20000</v>
      </c>
      <c r="L40" s="2"/>
      <c r="M40" s="28"/>
      <c r="N40" s="28"/>
      <c r="O40" s="28"/>
      <c r="P40" s="28"/>
      <c r="Q40" s="28"/>
      <c r="R40" s="28"/>
      <c r="S40" s="28"/>
      <c r="T40" s="28"/>
    </row>
    <row r="41" spans="1:20" ht="15" x14ac:dyDescent="0.3">
      <c r="A41" s="264"/>
      <c r="B41" s="38">
        <v>45322</v>
      </c>
      <c r="C41" s="9">
        <v>28000</v>
      </c>
    </row>
    <row r="42" spans="1:20" ht="15" x14ac:dyDescent="0.3">
      <c r="A42" s="262" t="s">
        <v>51</v>
      </c>
      <c r="B42" s="37">
        <v>45412</v>
      </c>
      <c r="C42" s="10">
        <f>Q3</f>
        <v>26611.764705882353</v>
      </c>
    </row>
    <row r="43" spans="1:20" ht="15" x14ac:dyDescent="0.3">
      <c r="A43" s="263"/>
      <c r="B43" s="38">
        <v>45504</v>
      </c>
      <c r="C43" s="10">
        <f>R3</f>
        <v>29752.941176470587</v>
      </c>
    </row>
    <row r="44" spans="1:20" ht="15" x14ac:dyDescent="0.3">
      <c r="A44" s="263"/>
      <c r="B44" s="38">
        <v>45596</v>
      </c>
      <c r="C44" s="10">
        <f>S3</f>
        <v>24070.588235294119</v>
      </c>
    </row>
    <row r="45" spans="1:20" ht="15" x14ac:dyDescent="0.3">
      <c r="A45" s="264"/>
      <c r="B45" s="44">
        <v>45688</v>
      </c>
      <c r="C45" s="191">
        <f>T3</f>
        <v>33564.705882352937</v>
      </c>
    </row>
    <row r="46" spans="1:20" ht="15.5" x14ac:dyDescent="0.35">
      <c r="A46" s="262" t="s">
        <v>52</v>
      </c>
      <c r="B46" s="172">
        <v>45777</v>
      </c>
      <c r="C46" s="179">
        <f>28646.57</f>
        <v>28646.57</v>
      </c>
    </row>
    <row r="47" spans="1:20" ht="15.5" x14ac:dyDescent="0.35">
      <c r="A47" s="263"/>
      <c r="B47" s="173">
        <v>45869</v>
      </c>
      <c r="C47" s="180">
        <f>33562.755</f>
        <v>33562.754999999997</v>
      </c>
    </row>
    <row r="48" spans="1:20" ht="15.5" x14ac:dyDescent="0.35">
      <c r="A48" s="264"/>
      <c r="B48" s="174">
        <v>45961</v>
      </c>
      <c r="C48" s="181">
        <f>28648.519</f>
        <v>28648.519</v>
      </c>
    </row>
    <row r="50" spans="1:3" ht="14.5" x14ac:dyDescent="0.35">
      <c r="A50" s="270" t="s">
        <v>4</v>
      </c>
      <c r="B50" s="270"/>
      <c r="C50" s="271"/>
    </row>
    <row r="51" spans="1:3" ht="14.5" x14ac:dyDescent="0.35">
      <c r="A51" s="31" t="s">
        <v>53</v>
      </c>
      <c r="B51" s="31" t="s">
        <v>54</v>
      </c>
      <c r="C51" s="31" t="s">
        <v>55</v>
      </c>
    </row>
    <row r="52" spans="1:3" ht="15" x14ac:dyDescent="0.3">
      <c r="A52" s="262" t="s">
        <v>49</v>
      </c>
      <c r="B52" s="37">
        <v>44681</v>
      </c>
      <c r="C52" s="9">
        <v>5000</v>
      </c>
    </row>
    <row r="53" spans="1:3" ht="15" x14ac:dyDescent="0.3">
      <c r="A53" s="263"/>
      <c r="B53" s="38">
        <v>44773</v>
      </c>
      <c r="C53" s="9">
        <v>6000</v>
      </c>
    </row>
    <row r="54" spans="1:3" ht="15" x14ac:dyDescent="0.3">
      <c r="A54" s="263"/>
      <c r="B54" s="38">
        <v>44865</v>
      </c>
      <c r="C54" s="9">
        <v>4000</v>
      </c>
    </row>
    <row r="55" spans="1:3" ht="15" x14ac:dyDescent="0.3">
      <c r="A55" s="264"/>
      <c r="B55" s="38">
        <v>44957</v>
      </c>
      <c r="C55" s="9">
        <v>8000</v>
      </c>
    </row>
    <row r="56" spans="1:3" ht="15" x14ac:dyDescent="0.3">
      <c r="A56" s="262" t="s">
        <v>50</v>
      </c>
      <c r="B56" s="37">
        <v>45046</v>
      </c>
      <c r="C56" s="9">
        <v>9000</v>
      </c>
    </row>
    <row r="57" spans="1:3" ht="15" x14ac:dyDescent="0.3">
      <c r="A57" s="263"/>
      <c r="B57" s="38">
        <v>45138</v>
      </c>
      <c r="C57" s="9">
        <v>10000</v>
      </c>
    </row>
    <row r="58" spans="1:3" ht="15" x14ac:dyDescent="0.3">
      <c r="A58" s="263"/>
      <c r="B58" s="38">
        <v>45230</v>
      </c>
      <c r="C58" s="9">
        <v>8000</v>
      </c>
    </row>
    <row r="59" spans="1:3" ht="15" x14ac:dyDescent="0.3">
      <c r="A59" s="264"/>
      <c r="B59" s="38">
        <v>45322</v>
      </c>
      <c r="C59" s="9">
        <v>15000</v>
      </c>
    </row>
    <row r="60" spans="1:3" ht="15" x14ac:dyDescent="0.3">
      <c r="A60" s="262" t="s">
        <v>51</v>
      </c>
      <c r="B60" s="37">
        <v>45412</v>
      </c>
      <c r="C60" s="10">
        <f>Q4</f>
        <v>10878.260869565216</v>
      </c>
    </row>
    <row r="61" spans="1:3" ht="15" x14ac:dyDescent="0.3">
      <c r="A61" s="263"/>
      <c r="B61" s="38">
        <v>45504</v>
      </c>
      <c r="C61" s="10">
        <f>R4</f>
        <v>12573.91304347826</v>
      </c>
    </row>
    <row r="62" spans="1:3" ht="15" x14ac:dyDescent="0.3">
      <c r="A62" s="263"/>
      <c r="B62" s="38">
        <v>45596</v>
      </c>
      <c r="C62" s="10">
        <f>S4</f>
        <v>9182.608695652174</v>
      </c>
    </row>
    <row r="63" spans="1:3" ht="15" x14ac:dyDescent="0.3">
      <c r="A63" s="264"/>
      <c r="B63" s="44">
        <v>45688</v>
      </c>
      <c r="C63" s="191">
        <f>T4</f>
        <v>17765.217391304348</v>
      </c>
    </row>
    <row r="64" spans="1:3" ht="15.5" x14ac:dyDescent="0.35">
      <c r="A64" s="262" t="s">
        <v>52</v>
      </c>
      <c r="B64" s="172">
        <v>45777</v>
      </c>
      <c r="C64" s="179">
        <f>14585.27</f>
        <v>14585.27</v>
      </c>
    </row>
    <row r="65" spans="1:3" ht="15.5" x14ac:dyDescent="0.35">
      <c r="A65" s="263"/>
      <c r="B65" s="173">
        <v>45869</v>
      </c>
      <c r="C65" s="180">
        <f>17764.51</f>
        <v>17764.509999999998</v>
      </c>
    </row>
    <row r="66" spans="1:3" ht="15.5" x14ac:dyDescent="0.35">
      <c r="A66" s="264"/>
      <c r="B66" s="174">
        <v>45961</v>
      </c>
      <c r="C66" s="181">
        <f>14585.97</f>
        <v>14585.97</v>
      </c>
    </row>
    <row r="68" spans="1:3" ht="14.5" x14ac:dyDescent="0.35">
      <c r="A68" s="270" t="s">
        <v>9</v>
      </c>
      <c r="B68" s="270"/>
      <c r="C68" s="271"/>
    </row>
    <row r="69" spans="1:3" ht="14.5" x14ac:dyDescent="0.35">
      <c r="A69" s="31" t="s">
        <v>53</v>
      </c>
      <c r="B69" s="31" t="s">
        <v>54</v>
      </c>
      <c r="C69" s="31" t="s">
        <v>55</v>
      </c>
    </row>
    <row r="70" spans="1:3" ht="15" x14ac:dyDescent="0.3">
      <c r="A70" s="262" t="s">
        <v>49</v>
      </c>
      <c r="B70" s="37">
        <v>44681</v>
      </c>
      <c r="C70" s="12">
        <v>15000</v>
      </c>
    </row>
    <row r="71" spans="1:3" ht="15" x14ac:dyDescent="0.3">
      <c r="A71" s="263"/>
      <c r="B71" s="38">
        <v>44773</v>
      </c>
      <c r="C71" s="12">
        <v>15500</v>
      </c>
    </row>
    <row r="72" spans="1:3" ht="15" x14ac:dyDescent="0.3">
      <c r="A72" s="263"/>
      <c r="B72" s="38">
        <v>44865</v>
      </c>
      <c r="C72" s="12">
        <v>13000</v>
      </c>
    </row>
    <row r="73" spans="1:3" ht="15" x14ac:dyDescent="0.3">
      <c r="A73" s="264"/>
      <c r="B73" s="38">
        <v>44957</v>
      </c>
      <c r="C73" s="12">
        <v>18000</v>
      </c>
    </row>
    <row r="74" spans="1:3" ht="15" x14ac:dyDescent="0.3">
      <c r="A74" s="262" t="s">
        <v>50</v>
      </c>
      <c r="B74" s="37">
        <v>45046</v>
      </c>
      <c r="C74" s="12">
        <v>16000</v>
      </c>
    </row>
    <row r="75" spans="1:3" ht="15" x14ac:dyDescent="0.3">
      <c r="A75" s="263"/>
      <c r="B75" s="38">
        <v>45138</v>
      </c>
      <c r="C75" s="12">
        <v>18000</v>
      </c>
    </row>
    <row r="76" spans="1:3" ht="15" x14ac:dyDescent="0.3">
      <c r="A76" s="263"/>
      <c r="B76" s="38">
        <v>45230</v>
      </c>
      <c r="C76" s="12">
        <v>15000</v>
      </c>
    </row>
    <row r="77" spans="1:3" ht="15" x14ac:dyDescent="0.3">
      <c r="A77" s="264"/>
      <c r="B77" s="38">
        <v>45322</v>
      </c>
      <c r="C77" s="12">
        <v>20000</v>
      </c>
    </row>
    <row r="78" spans="1:3" ht="15" x14ac:dyDescent="0.3">
      <c r="A78" s="262" t="s">
        <v>51</v>
      </c>
      <c r="B78" s="37">
        <v>45412</v>
      </c>
      <c r="C78" s="13">
        <f>Q5</f>
        <v>19697.560975609758</v>
      </c>
    </row>
    <row r="79" spans="1:3" ht="15" x14ac:dyDescent="0.3">
      <c r="A79" s="263"/>
      <c r="B79" s="38">
        <v>45504</v>
      </c>
      <c r="C79" s="13">
        <f>R5</f>
        <v>21234.146341463413</v>
      </c>
    </row>
    <row r="80" spans="1:3" ht="15" x14ac:dyDescent="0.3">
      <c r="A80" s="263"/>
      <c r="B80" s="38">
        <v>45596</v>
      </c>
      <c r="C80" s="13">
        <f>S5</f>
        <v>17751.219512195123</v>
      </c>
    </row>
    <row r="81" spans="1:3" ht="15" x14ac:dyDescent="0.3">
      <c r="A81" s="264"/>
      <c r="B81" s="44">
        <v>45688</v>
      </c>
      <c r="C81" s="175">
        <f>T5</f>
        <v>24117.073170731706</v>
      </c>
    </row>
    <row r="82" spans="1:3" ht="15.5" x14ac:dyDescent="0.3">
      <c r="A82" s="262" t="s">
        <v>52</v>
      </c>
      <c r="B82" s="172">
        <v>45777</v>
      </c>
      <c r="C82" s="176">
        <f>21037.35</f>
        <v>21037.35</v>
      </c>
    </row>
    <row r="83" spans="1:3" ht="15.5" x14ac:dyDescent="0.3">
      <c r="A83" s="263"/>
      <c r="B83" s="173">
        <v>45869</v>
      </c>
      <c r="C83" s="177">
        <f>24116.688</f>
        <v>24116.687999999998</v>
      </c>
    </row>
    <row r="84" spans="1:3" ht="15.5" x14ac:dyDescent="0.3">
      <c r="A84" s="264"/>
      <c r="B84" s="174">
        <v>45961</v>
      </c>
      <c r="C84" s="178">
        <f>21037.73</f>
        <v>21037.73</v>
      </c>
    </row>
    <row r="86" spans="1:3" ht="14.5" x14ac:dyDescent="0.35">
      <c r="A86" s="270" t="s">
        <v>10</v>
      </c>
      <c r="B86" s="270"/>
      <c r="C86" s="271"/>
    </row>
    <row r="87" spans="1:3" ht="14.5" x14ac:dyDescent="0.35">
      <c r="A87" s="31" t="s">
        <v>53</v>
      </c>
      <c r="B87" s="31" t="s">
        <v>54</v>
      </c>
      <c r="C87" s="31" t="s">
        <v>55</v>
      </c>
    </row>
    <row r="88" spans="1:3" ht="15" x14ac:dyDescent="0.3">
      <c r="A88" s="262" t="s">
        <v>49</v>
      </c>
      <c r="B88" s="37">
        <v>44681</v>
      </c>
      <c r="C88" s="14">
        <v>200000</v>
      </c>
    </row>
    <row r="89" spans="1:3" ht="15" x14ac:dyDescent="0.3">
      <c r="A89" s="263"/>
      <c r="B89" s="38">
        <v>44773</v>
      </c>
      <c r="C89" s="14">
        <v>180000</v>
      </c>
    </row>
    <row r="90" spans="1:3" ht="15" x14ac:dyDescent="0.3">
      <c r="A90" s="263"/>
      <c r="B90" s="38">
        <v>44865</v>
      </c>
      <c r="C90" s="14">
        <v>215000</v>
      </c>
    </row>
    <row r="91" spans="1:3" ht="15" x14ac:dyDescent="0.3">
      <c r="A91" s="264"/>
      <c r="B91" s="38">
        <v>44957</v>
      </c>
      <c r="C91" s="14">
        <v>220000</v>
      </c>
    </row>
    <row r="92" spans="1:3" ht="15" x14ac:dyDescent="0.3">
      <c r="A92" s="262" t="s">
        <v>50</v>
      </c>
      <c r="B92" s="37">
        <v>45046</v>
      </c>
      <c r="C92" s="14">
        <v>250000</v>
      </c>
    </row>
    <row r="93" spans="1:3" ht="15" x14ac:dyDescent="0.3">
      <c r="A93" s="263"/>
      <c r="B93" s="38">
        <v>45138</v>
      </c>
      <c r="C93" s="14">
        <v>260000</v>
      </c>
    </row>
    <row r="94" spans="1:3" ht="15" x14ac:dyDescent="0.3">
      <c r="A94" s="263"/>
      <c r="B94" s="38">
        <v>45230</v>
      </c>
      <c r="C94" s="14">
        <v>210000</v>
      </c>
    </row>
    <row r="95" spans="1:3" ht="15" x14ac:dyDescent="0.3">
      <c r="A95" s="264"/>
      <c r="B95" s="38">
        <v>45322</v>
      </c>
      <c r="C95" s="14">
        <v>260000</v>
      </c>
    </row>
    <row r="96" spans="1:3" ht="15" x14ac:dyDescent="0.3">
      <c r="A96" s="262" t="s">
        <v>51</v>
      </c>
      <c r="B96" s="37">
        <v>45412</v>
      </c>
      <c r="C96" s="15">
        <f>Q8</f>
        <v>294294.47852760734</v>
      </c>
    </row>
    <row r="97" spans="1:3" ht="15" x14ac:dyDescent="0.3">
      <c r="A97" s="263"/>
      <c r="B97" s="38">
        <v>45504</v>
      </c>
      <c r="C97" s="15">
        <f>R8</f>
        <v>285865.03067484661</v>
      </c>
    </row>
    <row r="98" spans="1:3" ht="15" x14ac:dyDescent="0.3">
      <c r="A98" s="263"/>
      <c r="B98" s="38">
        <v>45596</v>
      </c>
      <c r="C98" s="15">
        <f>S8</f>
        <v>281116.56441717787</v>
      </c>
    </row>
    <row r="99" spans="1:3" ht="15" x14ac:dyDescent="0.3">
      <c r="A99" s="264"/>
      <c r="B99" s="44">
        <v>45688</v>
      </c>
      <c r="C99" s="182">
        <f>T8</f>
        <v>314723.92638036812</v>
      </c>
    </row>
    <row r="100" spans="1:3" ht="15.5" x14ac:dyDescent="0.3">
      <c r="A100" s="262" t="s">
        <v>52</v>
      </c>
      <c r="B100" s="172">
        <v>45777</v>
      </c>
      <c r="C100" s="183">
        <f>320389.6299</f>
        <v>320389.6299</v>
      </c>
    </row>
    <row r="101" spans="1:3" ht="15.5" x14ac:dyDescent="0.3">
      <c r="A101" s="263"/>
      <c r="B101" s="173">
        <v>45869</v>
      </c>
      <c r="C101" s="184">
        <f>318667.62</f>
        <v>318667.62</v>
      </c>
    </row>
    <row r="102" spans="1:3" ht="15.5" x14ac:dyDescent="0.3">
      <c r="A102" s="264"/>
      <c r="B102" s="174">
        <v>45961</v>
      </c>
      <c r="C102" s="185">
        <f>319191.003</f>
        <v>319191.00300000003</v>
      </c>
    </row>
    <row r="104" spans="1:3" ht="14.5" x14ac:dyDescent="0.35">
      <c r="A104" s="270" t="s">
        <v>33</v>
      </c>
      <c r="B104" s="270"/>
      <c r="C104" s="271"/>
    </row>
    <row r="105" spans="1:3" ht="14.5" x14ac:dyDescent="0.35">
      <c r="A105" s="31" t="s">
        <v>53</v>
      </c>
      <c r="B105" s="31" t="s">
        <v>54</v>
      </c>
      <c r="C105" s="31" t="s">
        <v>33</v>
      </c>
    </row>
    <row r="106" spans="1:3" ht="15" x14ac:dyDescent="0.3">
      <c r="A106" s="262" t="s">
        <v>49</v>
      </c>
      <c r="B106" s="37">
        <v>44681</v>
      </c>
      <c r="C106" s="8">
        <v>4.8</v>
      </c>
    </row>
    <row r="107" spans="1:3" ht="15" x14ac:dyDescent="0.3">
      <c r="A107" s="263"/>
      <c r="B107" s="38">
        <v>44773</v>
      </c>
      <c r="C107" s="8">
        <v>4.8499999999999996</v>
      </c>
    </row>
    <row r="108" spans="1:3" ht="15" x14ac:dyDescent="0.3">
      <c r="A108" s="263"/>
      <c r="B108" s="38">
        <v>44865</v>
      </c>
      <c r="C108" s="8">
        <v>4.8</v>
      </c>
    </row>
    <row r="109" spans="1:3" ht="15" x14ac:dyDescent="0.3">
      <c r="A109" s="264"/>
      <c r="B109" s="38">
        <v>44957</v>
      </c>
      <c r="C109" s="8">
        <v>4.75</v>
      </c>
    </row>
    <row r="110" spans="1:3" ht="15" x14ac:dyDescent="0.3">
      <c r="A110" s="262" t="s">
        <v>50</v>
      </c>
      <c r="B110" s="37">
        <v>45046</v>
      </c>
      <c r="C110" s="8">
        <v>4.7</v>
      </c>
    </row>
    <row r="111" spans="1:3" ht="15" x14ac:dyDescent="0.3">
      <c r="A111" s="263"/>
      <c r="B111" s="38">
        <v>45138</v>
      </c>
      <c r="C111" s="8">
        <v>4.68</v>
      </c>
    </row>
    <row r="112" spans="1:3" ht="15" x14ac:dyDescent="0.3">
      <c r="A112" s="263"/>
      <c r="B112" s="38">
        <v>45230</v>
      </c>
      <c r="C112" s="8">
        <v>4.5999999999999996</v>
      </c>
    </row>
    <row r="113" spans="1:3" ht="15" x14ac:dyDescent="0.3">
      <c r="A113" s="264"/>
      <c r="B113" s="38">
        <v>45322</v>
      </c>
      <c r="C113" s="8">
        <v>4.59</v>
      </c>
    </row>
    <row r="114" spans="1:3" ht="15" x14ac:dyDescent="0.3">
      <c r="A114" s="262" t="s">
        <v>51</v>
      </c>
      <c r="B114" s="37">
        <v>45412</v>
      </c>
      <c r="C114" s="8">
        <v>4.5</v>
      </c>
    </row>
    <row r="115" spans="1:3" ht="15" x14ac:dyDescent="0.3">
      <c r="A115" s="263"/>
      <c r="B115" s="38">
        <v>45504</v>
      </c>
      <c r="C115" s="8">
        <v>4.5</v>
      </c>
    </row>
    <row r="116" spans="1:3" ht="15" x14ac:dyDescent="0.3">
      <c r="A116" s="263"/>
      <c r="B116" s="38">
        <v>45596</v>
      </c>
      <c r="C116" s="8">
        <v>4.5</v>
      </c>
    </row>
    <row r="117" spans="1:3" ht="15" x14ac:dyDescent="0.3">
      <c r="A117" s="264"/>
      <c r="B117" s="44">
        <v>45688</v>
      </c>
      <c r="C117" s="186">
        <v>4.5</v>
      </c>
    </row>
    <row r="118" spans="1:3" ht="15.5" x14ac:dyDescent="0.3">
      <c r="A118" s="262" t="s">
        <v>52</v>
      </c>
      <c r="B118" s="172">
        <v>45777</v>
      </c>
      <c r="C118" s="187">
        <f>4.484</f>
        <v>4.484</v>
      </c>
    </row>
    <row r="119" spans="1:3" ht="15.5" x14ac:dyDescent="0.3">
      <c r="A119" s="263"/>
      <c r="B119" s="173">
        <v>45869</v>
      </c>
      <c r="C119" s="188">
        <f>4.469</f>
        <v>4.4690000000000003</v>
      </c>
    </row>
    <row r="120" spans="1:3" ht="15.5" x14ac:dyDescent="0.3">
      <c r="A120" s="264"/>
      <c r="B120" s="174">
        <v>45961</v>
      </c>
      <c r="C120" s="189">
        <f>4.4552</f>
        <v>4.4551999999999996</v>
      </c>
    </row>
    <row r="122" spans="1:3" ht="14.5" x14ac:dyDescent="0.35">
      <c r="A122" s="270" t="s">
        <v>34</v>
      </c>
      <c r="B122" s="270"/>
      <c r="C122" s="271"/>
    </row>
    <row r="123" spans="1:3" ht="14.5" x14ac:dyDescent="0.35">
      <c r="A123" s="31" t="s">
        <v>53</v>
      </c>
      <c r="B123" s="31" t="s">
        <v>54</v>
      </c>
      <c r="C123" s="31" t="s">
        <v>34</v>
      </c>
    </row>
    <row r="124" spans="1:3" ht="15" x14ac:dyDescent="0.3">
      <c r="A124" s="262" t="s">
        <v>49</v>
      </c>
      <c r="B124" s="37">
        <v>44681</v>
      </c>
      <c r="C124" s="8">
        <v>1.7</v>
      </c>
    </row>
    <row r="125" spans="1:3" ht="15" x14ac:dyDescent="0.3">
      <c r="A125" s="263"/>
      <c r="B125" s="38">
        <v>44773</v>
      </c>
      <c r="C125" s="8">
        <v>1.78</v>
      </c>
    </row>
    <row r="126" spans="1:3" ht="15" x14ac:dyDescent="0.3">
      <c r="A126" s="263"/>
      <c r="B126" s="38">
        <v>44865</v>
      </c>
      <c r="C126" s="8">
        <v>1.8</v>
      </c>
    </row>
    <row r="127" spans="1:3" ht="15" x14ac:dyDescent="0.3">
      <c r="A127" s="264"/>
      <c r="B127" s="38">
        <v>44957</v>
      </c>
      <c r="C127" s="8">
        <v>1.81</v>
      </c>
    </row>
    <row r="128" spans="1:3" ht="15" x14ac:dyDescent="0.3">
      <c r="A128" s="262" t="s">
        <v>50</v>
      </c>
      <c r="B128" s="37">
        <v>45046</v>
      </c>
      <c r="C128" s="8">
        <v>1.78</v>
      </c>
    </row>
    <row r="129" spans="1:3" ht="15" x14ac:dyDescent="0.3">
      <c r="A129" s="263"/>
      <c r="B129" s="38">
        <v>45138</v>
      </c>
      <c r="C129" s="8">
        <v>1.7</v>
      </c>
    </row>
    <row r="130" spans="1:3" ht="15" x14ac:dyDescent="0.3">
      <c r="A130" s="263"/>
      <c r="B130" s="38">
        <v>45230</v>
      </c>
      <c r="C130" s="8">
        <v>1.6</v>
      </c>
    </row>
    <row r="131" spans="1:3" ht="15" x14ac:dyDescent="0.3">
      <c r="A131" s="264"/>
      <c r="B131" s="38">
        <v>45322</v>
      </c>
      <c r="C131" s="8">
        <v>1.53</v>
      </c>
    </row>
    <row r="132" spans="1:3" ht="15" x14ac:dyDescent="0.3">
      <c r="A132" s="262" t="s">
        <v>51</v>
      </c>
      <c r="B132" s="37">
        <v>45412</v>
      </c>
      <c r="C132" s="8">
        <v>1.5</v>
      </c>
    </row>
    <row r="133" spans="1:3" ht="15" x14ac:dyDescent="0.3">
      <c r="A133" s="263"/>
      <c r="B133" s="38">
        <v>45504</v>
      </c>
      <c r="C133" s="8">
        <v>1.48</v>
      </c>
    </row>
    <row r="134" spans="1:3" ht="15" x14ac:dyDescent="0.3">
      <c r="A134" s="263"/>
      <c r="B134" s="38">
        <v>45596</v>
      </c>
      <c r="C134" s="8">
        <v>1.46</v>
      </c>
    </row>
    <row r="135" spans="1:3" ht="15" x14ac:dyDescent="0.3">
      <c r="A135" s="264"/>
      <c r="B135" s="44">
        <v>45688</v>
      </c>
      <c r="C135" s="186">
        <v>1.45</v>
      </c>
    </row>
    <row r="136" spans="1:3" ht="15.5" x14ac:dyDescent="0.3">
      <c r="A136" s="262" t="s">
        <v>52</v>
      </c>
      <c r="B136" s="172">
        <v>45777</v>
      </c>
      <c r="C136" s="187">
        <f>1.447</f>
        <v>1.4470000000000001</v>
      </c>
    </row>
    <row r="137" spans="1:3" ht="15.5" x14ac:dyDescent="0.3">
      <c r="A137" s="263"/>
      <c r="B137" s="173">
        <v>45869</v>
      </c>
      <c r="C137" s="188">
        <f>1.445</f>
        <v>1.4450000000000001</v>
      </c>
    </row>
    <row r="138" spans="1:3" ht="15.5" x14ac:dyDescent="0.3">
      <c r="A138" s="264"/>
      <c r="B138" s="174">
        <v>45961</v>
      </c>
      <c r="C138" s="189">
        <f>1.443</f>
        <v>1.4430000000000001</v>
      </c>
    </row>
  </sheetData>
  <mergeCells count="37">
    <mergeCell ref="A136:A138"/>
    <mergeCell ref="A114:A117"/>
    <mergeCell ref="A118:A120"/>
    <mergeCell ref="A122:C122"/>
    <mergeCell ref="A124:A127"/>
    <mergeCell ref="A128:A131"/>
    <mergeCell ref="A132:A135"/>
    <mergeCell ref="A110:A113"/>
    <mergeCell ref="A70:A73"/>
    <mergeCell ref="A74:A77"/>
    <mergeCell ref="A78:A81"/>
    <mergeCell ref="A82:A84"/>
    <mergeCell ref="A86:C86"/>
    <mergeCell ref="A88:A91"/>
    <mergeCell ref="A92:A95"/>
    <mergeCell ref="A96:A99"/>
    <mergeCell ref="A100:A102"/>
    <mergeCell ref="A104:C104"/>
    <mergeCell ref="A106:A109"/>
    <mergeCell ref="A68:C68"/>
    <mergeCell ref="A28:A30"/>
    <mergeCell ref="A32:C32"/>
    <mergeCell ref="A34:A37"/>
    <mergeCell ref="A38:A41"/>
    <mergeCell ref="A42:A45"/>
    <mergeCell ref="A46:A48"/>
    <mergeCell ref="A50:C50"/>
    <mergeCell ref="A52:A55"/>
    <mergeCell ref="A56:A59"/>
    <mergeCell ref="A60:A63"/>
    <mergeCell ref="A64:A66"/>
    <mergeCell ref="A24:A27"/>
    <mergeCell ref="A1:B1"/>
    <mergeCell ref="A2:D9"/>
    <mergeCell ref="A14:C14"/>
    <mergeCell ref="A16:A19"/>
    <mergeCell ref="A20:A2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27229-1472-42C6-ACF3-96515F0FC437}">
  <dimension ref="A1:H16"/>
  <sheetViews>
    <sheetView workbookViewId="0">
      <selection activeCell="D37" sqref="D37"/>
    </sheetView>
  </sheetViews>
  <sheetFormatPr defaultRowHeight="14" x14ac:dyDescent="0.3"/>
  <cols>
    <col min="1" max="1" width="10.58203125" customWidth="1"/>
    <col min="2" max="2" width="9.33203125" customWidth="1"/>
    <col min="3" max="3" width="16.5" customWidth="1"/>
    <col min="4" max="4" width="31.25" customWidth="1"/>
    <col min="5" max="5" width="31.33203125" customWidth="1"/>
    <col min="7" max="7" width="10" customWidth="1"/>
    <col min="8" max="8" width="8.25" customWidth="1"/>
  </cols>
  <sheetData>
    <row r="1" spans="1:8" x14ac:dyDescent="0.3">
      <c r="A1" t="s">
        <v>54</v>
      </c>
      <c r="B1" t="s">
        <v>55</v>
      </c>
      <c r="C1" t="s">
        <v>56</v>
      </c>
      <c r="D1" t="s">
        <v>57</v>
      </c>
      <c r="E1" t="s">
        <v>58</v>
      </c>
      <c r="G1" t="s">
        <v>86</v>
      </c>
      <c r="H1" t="s">
        <v>87</v>
      </c>
    </row>
    <row r="2" spans="1:8" x14ac:dyDescent="0.3">
      <c r="A2" s="25">
        <v>44681</v>
      </c>
      <c r="B2" s="26">
        <v>50000</v>
      </c>
      <c r="G2" t="s">
        <v>88</v>
      </c>
      <c r="H2" s="163">
        <f>_xlfn.FORECAST.ETS.STAT($B$2:$B$12,$A$2:$A$12,1,1,1)</f>
        <v>0.126</v>
      </c>
    </row>
    <row r="3" spans="1:8" x14ac:dyDescent="0.3">
      <c r="A3" s="25">
        <v>44773</v>
      </c>
      <c r="B3" s="26">
        <v>55000</v>
      </c>
      <c r="G3" t="s">
        <v>89</v>
      </c>
      <c r="H3" s="163">
        <f>_xlfn.FORECAST.ETS.STAT($B$2:$B$12,$A$2:$A$12,2,1,1)</f>
        <v>1E-3</v>
      </c>
    </row>
    <row r="4" spans="1:8" x14ac:dyDescent="0.3">
      <c r="A4" s="25">
        <v>44865</v>
      </c>
      <c r="B4" s="26">
        <v>45000</v>
      </c>
      <c r="G4" t="s">
        <v>90</v>
      </c>
      <c r="H4" s="163">
        <f>_xlfn.FORECAST.ETS.STAT($B$2:$B$12,$A$2:$A$12,3,1,1)</f>
        <v>1E-3</v>
      </c>
    </row>
    <row r="5" spans="1:8" x14ac:dyDescent="0.3">
      <c r="A5" s="25">
        <v>44957</v>
      </c>
      <c r="B5" s="26">
        <v>60000</v>
      </c>
      <c r="G5" t="s">
        <v>91</v>
      </c>
      <c r="H5" s="163">
        <f>_xlfn.FORECAST.ETS.STAT($B$2:$B$12,$A$2:$A$12,4,1,1)</f>
        <v>0.3397615073047684</v>
      </c>
    </row>
    <row r="6" spans="1:8" x14ac:dyDescent="0.3">
      <c r="A6" s="25">
        <v>45046</v>
      </c>
      <c r="B6" s="26">
        <v>50000</v>
      </c>
      <c r="G6" t="s">
        <v>92</v>
      </c>
      <c r="H6" s="163">
        <f>_xlfn.FORECAST.ETS.STAT($B$2:$B$12,$A$2:$A$12,5,1,1)</f>
        <v>5.336677411086059E-2</v>
      </c>
    </row>
    <row r="7" spans="1:8" x14ac:dyDescent="0.3">
      <c r="A7" s="25">
        <v>45138</v>
      </c>
      <c r="B7" s="26">
        <v>55000</v>
      </c>
      <c r="G7" t="s">
        <v>93</v>
      </c>
      <c r="H7" s="163">
        <f>_xlfn.FORECAST.ETS.STAT($B$2:$B$12,$A$2:$A$12,6,1,1)</f>
        <v>3114.4804836270432</v>
      </c>
    </row>
    <row r="8" spans="1:8" x14ac:dyDescent="0.3">
      <c r="A8" s="25">
        <v>45230</v>
      </c>
      <c r="B8" s="26">
        <v>45000</v>
      </c>
      <c r="G8" t="s">
        <v>94</v>
      </c>
      <c r="H8" s="163">
        <f>_xlfn.FORECAST.ETS.STAT($B$2:$B$12,$A$2:$A$12,7,1,1)</f>
        <v>3610.3148201613935</v>
      </c>
    </row>
    <row r="9" spans="1:8" x14ac:dyDescent="0.3">
      <c r="A9" s="25">
        <v>45322</v>
      </c>
      <c r="B9" s="26">
        <v>60000</v>
      </c>
    </row>
    <row r="10" spans="1:8" x14ac:dyDescent="0.3">
      <c r="A10" s="25">
        <v>45412</v>
      </c>
      <c r="B10" s="26">
        <v>60000</v>
      </c>
    </row>
    <row r="11" spans="1:8" x14ac:dyDescent="0.3">
      <c r="A11" s="25">
        <v>45504</v>
      </c>
      <c r="B11" s="26">
        <v>66000</v>
      </c>
    </row>
    <row r="12" spans="1:8" x14ac:dyDescent="0.3">
      <c r="A12" s="25">
        <v>45596</v>
      </c>
      <c r="B12" s="26">
        <v>54000</v>
      </c>
      <c r="C12" s="26">
        <v>54000</v>
      </c>
      <c r="D12" s="26">
        <v>54000</v>
      </c>
      <c r="E12" s="26">
        <v>54000</v>
      </c>
    </row>
    <row r="13" spans="1:8" x14ac:dyDescent="0.3">
      <c r="A13" s="25">
        <v>45688</v>
      </c>
      <c r="B13" s="26">
        <v>72000</v>
      </c>
      <c r="C13" s="26">
        <f>_xlfn.FORECAST.ETS(A13,$B$2:$B$12,$A$2:$A$12,1,1)</f>
        <v>65089.855965599658</v>
      </c>
      <c r="D13" s="26">
        <f>C13-_xlfn.FORECAST.ETS.CONFINT(A13,$B$2:$B$12,$A$2:$A$12,0.95,1,1)</f>
        <v>56378.886079920092</v>
      </c>
      <c r="E13" s="26">
        <f>C13+_xlfn.FORECAST.ETS.CONFINT(A13,$B$2:$B$12,$A$2:$A$12,0.95,1,1)</f>
        <v>73800.825851279224</v>
      </c>
    </row>
    <row r="14" spans="1:8" x14ac:dyDescent="0.3">
      <c r="A14" s="25">
        <v>45778</v>
      </c>
      <c r="C14" s="26">
        <f>_xlfn.FORECAST.ETS(A14,$B$2:$B$12,$A$2:$A$12,1,1)</f>
        <v>58506.015362384955</v>
      </c>
      <c r="D14" s="26">
        <f>C14-_xlfn.FORECAST.ETS.CONFINT(A14,$B$2:$B$12,$A$2:$A$12,0.95,1,1)</f>
        <v>49725.076862467489</v>
      </c>
      <c r="E14" s="26">
        <f>C14+_xlfn.FORECAST.ETS.CONFINT(A14,$B$2:$B$12,$A$2:$A$12,0.95,1,1)</f>
        <v>67286.953862302427</v>
      </c>
    </row>
    <row r="15" spans="1:8" x14ac:dyDescent="0.3">
      <c r="A15" s="25">
        <v>45869</v>
      </c>
      <c r="C15" s="26">
        <f>_xlfn.FORECAST.ETS(A15,$B$2:$B$12,$A$2:$A$12,1,1)</f>
        <v>66938.847732238864</v>
      </c>
      <c r="D15" s="26">
        <f>C15-_xlfn.FORECAST.ETS.CONFINT(A15,$B$2:$B$12,$A$2:$A$12,0.95,1,1)</f>
        <v>58086.299138778326</v>
      </c>
      <c r="E15" s="26">
        <f>C15+_xlfn.FORECAST.ETS.CONFINT(A15,$B$2:$B$12,$A$2:$A$12,0.95,1,1)</f>
        <v>75791.396325699403</v>
      </c>
    </row>
    <row r="16" spans="1:8" x14ac:dyDescent="0.3">
      <c r="A16" s="25">
        <v>45961</v>
      </c>
      <c r="C16" s="26">
        <f>_xlfn.FORECAST.ETS(A16,$B$2:$B$12,$A$2:$A$12,1,1)</f>
        <v>60355.007129024169</v>
      </c>
      <c r="D16" s="26">
        <f>C16-_xlfn.FORECAST.ETS.CONFINT(A16,$B$2:$B$12,$A$2:$A$12,0.95,1,1)</f>
        <v>51431.423081130211</v>
      </c>
      <c r="E16" s="26">
        <f>C16+_xlfn.FORECAST.ETS.CONFINT(A16,$B$2:$B$12,$A$2:$A$12,0.95,1,1)</f>
        <v>69278.591176918126</v>
      </c>
    </row>
  </sheetData>
  <pageMargins left="0.7" right="0.7" top="0.75" bottom="0.75" header="0.3" footer="0.3"/>
  <drawing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D3817-AE83-4636-AA6D-1793E11C1148}">
  <dimension ref="A1:H16"/>
  <sheetViews>
    <sheetView workbookViewId="0">
      <selection activeCell="E37" sqref="E37"/>
    </sheetView>
  </sheetViews>
  <sheetFormatPr defaultRowHeight="14" x14ac:dyDescent="0.3"/>
  <cols>
    <col min="1" max="1" width="10.58203125" customWidth="1"/>
    <col min="2" max="2" width="9.33203125" customWidth="1"/>
    <col min="3" max="3" width="16.5" customWidth="1"/>
    <col min="4" max="4" width="31.25" customWidth="1"/>
    <col min="5" max="5" width="31.33203125" customWidth="1"/>
    <col min="7" max="7" width="10" customWidth="1"/>
    <col min="8" max="8" width="8.25" customWidth="1"/>
  </cols>
  <sheetData>
    <row r="1" spans="1:8" x14ac:dyDescent="0.3">
      <c r="A1" t="s">
        <v>54</v>
      </c>
      <c r="B1" t="s">
        <v>55</v>
      </c>
      <c r="C1" t="s">
        <v>56</v>
      </c>
      <c r="D1" t="s">
        <v>57</v>
      </c>
      <c r="E1" t="s">
        <v>58</v>
      </c>
      <c r="G1" t="s">
        <v>86</v>
      </c>
      <c r="H1" t="s">
        <v>87</v>
      </c>
    </row>
    <row r="2" spans="1:8" x14ac:dyDescent="0.3">
      <c r="A2" s="25">
        <v>44681</v>
      </c>
      <c r="B2" s="26">
        <v>20000</v>
      </c>
      <c r="G2" t="s">
        <v>88</v>
      </c>
      <c r="H2" s="163">
        <f>_xlfn.FORECAST.ETS.STAT($B$2:$B$12,$A$2:$A$12,1,1,1)</f>
        <v>0.126</v>
      </c>
    </row>
    <row r="3" spans="1:8" x14ac:dyDescent="0.3">
      <c r="A3" s="25">
        <v>44773</v>
      </c>
      <c r="B3" s="26">
        <v>22000</v>
      </c>
      <c r="G3" t="s">
        <v>89</v>
      </c>
      <c r="H3" s="163">
        <f>_xlfn.FORECAST.ETS.STAT($B$2:$B$12,$A$2:$A$12,2,1,1)</f>
        <v>1E-3</v>
      </c>
    </row>
    <row r="4" spans="1:8" x14ac:dyDescent="0.3">
      <c r="A4" s="25">
        <v>44865</v>
      </c>
      <c r="B4" s="26">
        <v>18000</v>
      </c>
      <c r="G4" t="s">
        <v>90</v>
      </c>
      <c r="H4" s="163">
        <f>_xlfn.FORECAST.ETS.STAT($B$2:$B$12,$A$2:$A$12,3,1,1)</f>
        <v>1E-3</v>
      </c>
    </row>
    <row r="5" spans="1:8" x14ac:dyDescent="0.3">
      <c r="A5" s="25">
        <v>44957</v>
      </c>
      <c r="B5" s="26">
        <v>25000</v>
      </c>
      <c r="G5" t="s">
        <v>91</v>
      </c>
      <c r="H5" s="163">
        <f>_xlfn.FORECAST.ETS.STAT($B$2:$B$12,$A$2:$A$12,4,1,1)</f>
        <v>0.37741853785243051</v>
      </c>
    </row>
    <row r="6" spans="1:8" x14ac:dyDescent="0.3">
      <c r="A6" s="25">
        <v>45046</v>
      </c>
      <c r="B6" s="26">
        <v>22000</v>
      </c>
      <c r="G6" t="s">
        <v>92</v>
      </c>
      <c r="H6" s="163">
        <f>_xlfn.FORECAST.ETS.STAT($B$2:$B$12,$A$2:$A$12,5,1,1)</f>
        <v>5.7616169409870792E-2</v>
      </c>
    </row>
    <row r="7" spans="1:8" x14ac:dyDescent="0.3">
      <c r="A7" s="25">
        <v>45138</v>
      </c>
      <c r="B7" s="26">
        <v>25000</v>
      </c>
      <c r="G7" t="s">
        <v>93</v>
      </c>
      <c r="H7" s="163">
        <f>_xlfn.FORECAST.ETS.STAT($B$2:$B$12,$A$2:$A$12,6,1,1)</f>
        <v>1509.6741514097221</v>
      </c>
    </row>
    <row r="8" spans="1:8" x14ac:dyDescent="0.3">
      <c r="A8" s="25">
        <v>45230</v>
      </c>
      <c r="B8" s="26">
        <v>20000</v>
      </c>
      <c r="G8" t="s">
        <v>94</v>
      </c>
      <c r="H8" s="163">
        <f>_xlfn.FORECAST.ETS.STAT($B$2:$B$12,$A$2:$A$12,7,1,1)</f>
        <v>1659.1080984658802</v>
      </c>
    </row>
    <row r="9" spans="1:8" x14ac:dyDescent="0.3">
      <c r="A9" s="25">
        <v>45322</v>
      </c>
      <c r="B9" s="26">
        <v>28000</v>
      </c>
    </row>
    <row r="10" spans="1:8" x14ac:dyDescent="0.3">
      <c r="A10" s="25">
        <v>45412</v>
      </c>
      <c r="B10" s="26">
        <v>26611.764705882353</v>
      </c>
    </row>
    <row r="11" spans="1:8" x14ac:dyDescent="0.3">
      <c r="A11" s="25">
        <v>45504</v>
      </c>
      <c r="B11" s="26">
        <v>29752.941176470587</v>
      </c>
    </row>
    <row r="12" spans="1:8" x14ac:dyDescent="0.3">
      <c r="A12" s="25">
        <v>45596</v>
      </c>
      <c r="B12" s="26">
        <v>24070.588235294119</v>
      </c>
      <c r="C12" s="26">
        <v>24070.588235294119</v>
      </c>
      <c r="D12" s="26">
        <v>24070.588235294119</v>
      </c>
      <c r="E12" s="26">
        <v>24070.588235294119</v>
      </c>
    </row>
    <row r="13" spans="1:8" x14ac:dyDescent="0.3">
      <c r="A13" s="25">
        <v>45688</v>
      </c>
      <c r="B13" s="26">
        <v>33564.705882352937</v>
      </c>
      <c r="C13" s="26">
        <f>_xlfn.FORECAST.ETS(A13,$B$2:$B$12,$A$2:$A$12,1,1)</f>
        <v>30199.328694585576</v>
      </c>
      <c r="D13" s="26">
        <f>C13-_xlfn.FORECAST.ETS.CONFINT(A13,$B$2:$B$12,$A$2:$A$12,0.95,1,1)</f>
        <v>26465.844089602884</v>
      </c>
      <c r="E13" s="26">
        <f>C13+_xlfn.FORECAST.ETS.CONFINT(A13,$B$2:$B$12,$A$2:$A$12,0.95,1,1)</f>
        <v>33932.813299568268</v>
      </c>
    </row>
    <row r="14" spans="1:8" x14ac:dyDescent="0.3">
      <c r="A14" s="25">
        <v>45778</v>
      </c>
      <c r="C14" s="26">
        <f>_xlfn.FORECAST.ETS(A14,$B$2:$B$12,$A$2:$A$12,1,1)</f>
        <v>27640.022785260568</v>
      </c>
      <c r="D14" s="26">
        <f>C14-_xlfn.FORECAST.ETS.CONFINT(A14,$B$2:$B$12,$A$2:$A$12,0.95,1,1)</f>
        <v>23876.549930115445</v>
      </c>
      <c r="E14" s="26">
        <f>C14+_xlfn.FORECAST.ETS.CONFINT(A14,$B$2:$B$12,$A$2:$A$12,0.95,1,1)</f>
        <v>31403.49564040569</v>
      </c>
    </row>
    <row r="15" spans="1:8" x14ac:dyDescent="0.3">
      <c r="A15" s="25">
        <v>45869</v>
      </c>
      <c r="C15" s="26">
        <f>_xlfn.FORECAST.ETS(A15,$B$2:$B$12,$A$2:$A$12,1,1)</f>
        <v>31657.681026115766</v>
      </c>
      <c r="D15" s="26">
        <f>C15-_xlfn.FORECAST.ETS.CONFINT(A15,$B$2:$B$12,$A$2:$A$12,0.95,1,1)</f>
        <v>27863.516389766814</v>
      </c>
      <c r="E15" s="26">
        <f>C15+_xlfn.FORECAST.ETS.CONFINT(A15,$B$2:$B$12,$A$2:$A$12,0.95,1,1)</f>
        <v>35451.845662464722</v>
      </c>
    </row>
    <row r="16" spans="1:8" x14ac:dyDescent="0.3">
      <c r="A16" s="25">
        <v>45961</v>
      </c>
      <c r="C16" s="26">
        <f>_xlfn.FORECAST.ETS(A16,$B$2:$B$12,$A$2:$A$12,1,1)</f>
        <v>29098.375116790758</v>
      </c>
      <c r="D16" s="26">
        <f>C16-_xlfn.FORECAST.ETS.CONFINT(A16,$B$2:$B$12,$A$2:$A$12,0.95,1,1)</f>
        <v>25273.764987113776</v>
      </c>
      <c r="E16" s="26">
        <f>C16+_xlfn.FORECAST.ETS.CONFINT(A16,$B$2:$B$12,$A$2:$A$12,0.95,1,1)</f>
        <v>32922.985246467739</v>
      </c>
    </row>
  </sheetData>
  <pageMargins left="0.7" right="0.7" top="0.75" bottom="0.75" header="0.3" footer="0.3"/>
  <drawing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9A94A-87D1-41E6-B194-3F9912508570}">
  <dimension ref="A1:H16"/>
  <sheetViews>
    <sheetView workbookViewId="0">
      <selection activeCell="D31" sqref="D31"/>
    </sheetView>
  </sheetViews>
  <sheetFormatPr defaultRowHeight="14" x14ac:dyDescent="0.3"/>
  <cols>
    <col min="1" max="1" width="10.83203125" customWidth="1"/>
    <col min="2" max="2" width="9.33203125" customWidth="1"/>
    <col min="3" max="3" width="10.5" customWidth="1"/>
    <col min="4" max="4" width="25.25" customWidth="1"/>
    <col min="5" max="5" width="25.33203125" customWidth="1"/>
    <col min="7" max="7" width="10" customWidth="1"/>
    <col min="8" max="8" width="8.25" customWidth="1"/>
  </cols>
  <sheetData>
    <row r="1" spans="1:8" x14ac:dyDescent="0.3">
      <c r="A1" t="s">
        <v>95</v>
      </c>
      <c r="B1" t="s">
        <v>96</v>
      </c>
      <c r="C1" t="s">
        <v>97</v>
      </c>
      <c r="D1" t="s">
        <v>98</v>
      </c>
      <c r="E1" t="s">
        <v>99</v>
      </c>
      <c r="G1" t="s">
        <v>86</v>
      </c>
      <c r="H1" t="s">
        <v>87</v>
      </c>
    </row>
    <row r="2" spans="1:8" x14ac:dyDescent="0.3">
      <c r="A2" s="25">
        <v>44681</v>
      </c>
      <c r="B2" s="26">
        <v>5000</v>
      </c>
      <c r="G2" t="s">
        <v>88</v>
      </c>
      <c r="H2" s="163">
        <f>_xlfn.FORECAST.ETS.STAT($B$2:$B$12,$A$2:$A$12,1,1,1)</f>
        <v>2E-3</v>
      </c>
    </row>
    <row r="3" spans="1:8" x14ac:dyDescent="0.3">
      <c r="A3" s="25">
        <v>44773</v>
      </c>
      <c r="B3" s="26">
        <v>6000</v>
      </c>
      <c r="G3" t="s">
        <v>89</v>
      </c>
      <c r="H3" s="163">
        <f>_xlfn.FORECAST.ETS.STAT($B$2:$B$12,$A$2:$A$12,2,1,1)</f>
        <v>1E-3</v>
      </c>
    </row>
    <row r="4" spans="1:8" x14ac:dyDescent="0.3">
      <c r="A4" s="25">
        <v>44865</v>
      </c>
      <c r="B4" s="26">
        <v>4000</v>
      </c>
      <c r="G4" t="s">
        <v>90</v>
      </c>
      <c r="H4" s="163">
        <f>_xlfn.FORECAST.ETS.STAT($B$2:$B$12,$A$2:$A$12,3,1,1)</f>
        <v>2.2204460492503131E-16</v>
      </c>
    </row>
    <row r="5" spans="1:8" x14ac:dyDescent="0.3">
      <c r="A5" s="25">
        <v>44957</v>
      </c>
      <c r="B5" s="26">
        <v>8000</v>
      </c>
      <c r="G5" t="s">
        <v>91</v>
      </c>
      <c r="H5" s="163">
        <f>_xlfn.FORECAST.ETS.STAT($B$2:$B$12,$A$2:$A$12,4,1,1)</f>
        <v>1.2278660913149628</v>
      </c>
    </row>
    <row r="6" spans="1:8" x14ac:dyDescent="0.3">
      <c r="A6" s="25">
        <v>45046</v>
      </c>
      <c r="B6" s="26">
        <v>9000</v>
      </c>
      <c r="G6" t="s">
        <v>92</v>
      </c>
      <c r="H6" s="163">
        <f>_xlfn.FORECAST.ETS.STAT($B$2:$B$12,$A$2:$A$12,5,1,1)</f>
        <v>0.19039600120098749</v>
      </c>
    </row>
    <row r="7" spans="1:8" x14ac:dyDescent="0.3">
      <c r="A7" s="25">
        <v>45138</v>
      </c>
      <c r="B7" s="26">
        <v>10000</v>
      </c>
      <c r="G7" t="s">
        <v>93</v>
      </c>
      <c r="H7" s="163">
        <f>_xlfn.FORECAST.ETS.STAT($B$2:$B$12,$A$2:$A$12,6,1,1)</f>
        <v>2251.0878340774316</v>
      </c>
    </row>
    <row r="8" spans="1:8" x14ac:dyDescent="0.3">
      <c r="A8" s="25">
        <v>45230</v>
      </c>
      <c r="B8" s="26">
        <v>8000</v>
      </c>
      <c r="G8" t="s">
        <v>94</v>
      </c>
      <c r="H8" s="163">
        <f>_xlfn.FORECAST.ETS.STAT($B$2:$B$12,$A$2:$A$12,7,1,1)</f>
        <v>2944.2279139424086</v>
      </c>
    </row>
    <row r="9" spans="1:8" x14ac:dyDescent="0.3">
      <c r="A9" s="25">
        <v>45322</v>
      </c>
      <c r="B9" s="26">
        <v>15000</v>
      </c>
    </row>
    <row r="10" spans="1:8" x14ac:dyDescent="0.3">
      <c r="A10" s="25">
        <v>45412</v>
      </c>
      <c r="B10" s="26">
        <v>10878.260869565216</v>
      </c>
    </row>
    <row r="11" spans="1:8" x14ac:dyDescent="0.3">
      <c r="A11" s="25">
        <v>45504</v>
      </c>
      <c r="B11" s="26">
        <v>12573.91304347826</v>
      </c>
    </row>
    <row r="12" spans="1:8" x14ac:dyDescent="0.3">
      <c r="A12" s="25">
        <v>45596</v>
      </c>
      <c r="B12" s="26">
        <v>9182.608695652174</v>
      </c>
      <c r="C12" s="26">
        <v>9182.608695652174</v>
      </c>
      <c r="D12" s="26">
        <v>9182.608695652174</v>
      </c>
      <c r="E12" s="26">
        <v>9182.608695652174</v>
      </c>
    </row>
    <row r="13" spans="1:8" x14ac:dyDescent="0.3">
      <c r="A13" s="25">
        <v>45688</v>
      </c>
      <c r="B13" s="26">
        <v>17765.217391304348</v>
      </c>
      <c r="C13" s="26">
        <f>_xlfn.FORECAST.ETS(A13,$B$2:$B$12,$A$2:$A$12,1,1)</f>
        <v>13102.050486907245</v>
      </c>
      <c r="D13" s="26">
        <f>C13-_xlfn.FORECAST.ETS.CONFINT(A13,$B$2:$B$12,$A$2:$A$12,0.95,1,1)</f>
        <v>9077.4531741567262</v>
      </c>
      <c r="E13" s="26">
        <f>C13+_xlfn.FORECAST.ETS.CONFINT(A13,$B$2:$B$12,$A$2:$A$12,0.95,1,1)</f>
        <v>17126.647799657763</v>
      </c>
    </row>
    <row r="14" spans="1:8" x14ac:dyDescent="0.3">
      <c r="A14" s="25">
        <v>45778</v>
      </c>
      <c r="C14" s="26">
        <f>_xlfn.FORECAST.ETS(A14,$B$2:$B$12,$A$2:$A$12,1,1)</f>
        <v>13839.178216365926</v>
      </c>
      <c r="D14" s="26">
        <f>C14-_xlfn.FORECAST.ETS.CONFINT(A14,$B$2:$B$12,$A$2:$A$12,0.95,1,1)</f>
        <v>9814.5627929682487</v>
      </c>
      <c r="E14" s="26">
        <f>C14+_xlfn.FORECAST.ETS.CONFINT(A14,$B$2:$B$12,$A$2:$A$12,0.95,1,1)</f>
        <v>17863.793639763604</v>
      </c>
    </row>
    <row r="15" spans="1:8" x14ac:dyDescent="0.3">
      <c r="A15" s="25">
        <v>45869</v>
      </c>
      <c r="C15" s="26">
        <f>_xlfn.FORECAST.ETS(A15,$B$2:$B$12,$A$2:$A$12,1,1)</f>
        <v>14576.305945824613</v>
      </c>
      <c r="D15" s="26">
        <f>C15-_xlfn.FORECAST.ETS.CONFINT(A15,$B$2:$B$12,$A$2:$A$12,0.95,1,1)</f>
        <v>10551.658325922104</v>
      </c>
      <c r="E15" s="26">
        <f>C15+_xlfn.FORECAST.ETS.CONFINT(A15,$B$2:$B$12,$A$2:$A$12,0.95,1,1)</f>
        <v>18600.953565727123</v>
      </c>
    </row>
    <row r="16" spans="1:8" x14ac:dyDescent="0.3">
      <c r="A16" s="25">
        <v>45961</v>
      </c>
      <c r="C16" s="26">
        <f>_xlfn.FORECAST.ETS(A16,$B$2:$B$12,$A$2:$A$12,1,1)</f>
        <v>15313.433675283295</v>
      </c>
      <c r="D16" s="26">
        <f>C16-_xlfn.FORECAST.ETS.CONFINT(A16,$B$2:$B$12,$A$2:$A$12,0.95,1,1)</f>
        <v>11288.735748857613</v>
      </c>
      <c r="E16" s="26">
        <f>C16+_xlfn.FORECAST.ETS.CONFINT(A16,$B$2:$B$12,$A$2:$A$12,0.95,1,1)</f>
        <v>19338.131601708978</v>
      </c>
    </row>
  </sheetData>
  <pageMargins left="0.7" right="0.7" top="0.75" bottom="0.75" header="0.3" footer="0.3"/>
  <drawing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F638F-DA5B-4BE8-B249-82117D64C8E5}">
  <dimension ref="A1:H16"/>
  <sheetViews>
    <sheetView workbookViewId="0">
      <selection activeCell="D33" sqref="D33"/>
    </sheetView>
  </sheetViews>
  <sheetFormatPr defaultRowHeight="14" x14ac:dyDescent="0.3"/>
  <cols>
    <col min="1" max="1" width="10.58203125" customWidth="1"/>
    <col min="2" max="2" width="10.5" customWidth="1"/>
    <col min="3" max="3" width="16.5" customWidth="1"/>
    <col min="4" max="4" width="31.25" customWidth="1"/>
    <col min="5" max="5" width="31.33203125" customWidth="1"/>
    <col min="7" max="7" width="10" customWidth="1"/>
    <col min="8" max="8" width="8.25" customWidth="1"/>
  </cols>
  <sheetData>
    <row r="1" spans="1:8" x14ac:dyDescent="0.3">
      <c r="A1" t="s">
        <v>54</v>
      </c>
      <c r="B1" t="s">
        <v>55</v>
      </c>
      <c r="C1" t="s">
        <v>56</v>
      </c>
      <c r="D1" t="s">
        <v>57</v>
      </c>
      <c r="E1" t="s">
        <v>58</v>
      </c>
      <c r="G1" t="s">
        <v>86</v>
      </c>
      <c r="H1" t="s">
        <v>87</v>
      </c>
    </row>
    <row r="2" spans="1:8" x14ac:dyDescent="0.3">
      <c r="A2" s="25">
        <v>44681</v>
      </c>
      <c r="B2" s="45">
        <v>15000</v>
      </c>
      <c r="G2" t="s">
        <v>88</v>
      </c>
      <c r="H2" s="163">
        <f>_xlfn.FORECAST.ETS.STAT($B$2:$B$12,$A$2:$A$12,1,1,1)</f>
        <v>0.251</v>
      </c>
    </row>
    <row r="3" spans="1:8" x14ac:dyDescent="0.3">
      <c r="A3" s="25">
        <v>44773</v>
      </c>
      <c r="B3" s="45">
        <v>15500</v>
      </c>
      <c r="G3" t="s">
        <v>89</v>
      </c>
      <c r="H3" s="163">
        <f>_xlfn.FORECAST.ETS.STAT($B$2:$B$12,$A$2:$A$12,2,1,1)</f>
        <v>1E-3</v>
      </c>
    </row>
    <row r="4" spans="1:8" x14ac:dyDescent="0.3">
      <c r="A4" s="25">
        <v>44865</v>
      </c>
      <c r="B4" s="45">
        <v>13000</v>
      </c>
      <c r="G4" t="s">
        <v>90</v>
      </c>
      <c r="H4" s="163">
        <f>_xlfn.FORECAST.ETS.STAT($B$2:$B$12,$A$2:$A$12,3,1,1)</f>
        <v>1E-3</v>
      </c>
    </row>
    <row r="5" spans="1:8" x14ac:dyDescent="0.3">
      <c r="A5" s="25">
        <v>44957</v>
      </c>
      <c r="B5" s="45">
        <v>18000</v>
      </c>
      <c r="G5" t="s">
        <v>91</v>
      </c>
      <c r="H5" s="163">
        <f>_xlfn.FORECAST.ETS.STAT($B$2:$B$12,$A$2:$A$12,4,1,1)</f>
        <v>0.50199996473455066</v>
      </c>
    </row>
    <row r="6" spans="1:8" x14ac:dyDescent="0.3">
      <c r="A6" s="25">
        <v>45046</v>
      </c>
      <c r="B6" s="45">
        <v>16000</v>
      </c>
      <c r="G6" t="s">
        <v>92</v>
      </c>
      <c r="H6" s="163">
        <f>_xlfn.FORECAST.ETS.STAT($B$2:$B$12,$A$2:$A$12,5,1,1)</f>
        <v>6.5919274547370371E-2</v>
      </c>
    </row>
    <row r="7" spans="1:8" x14ac:dyDescent="0.3">
      <c r="A7" s="25">
        <v>45138</v>
      </c>
      <c r="B7" s="45">
        <v>18000</v>
      </c>
      <c r="G7" t="s">
        <v>93</v>
      </c>
      <c r="H7" s="163">
        <f>_xlfn.FORECAST.ETS.STAT($B$2:$B$12,$A$2:$A$12,6,1,1)</f>
        <v>1254.9999118363767</v>
      </c>
    </row>
    <row r="8" spans="1:8" x14ac:dyDescent="0.3">
      <c r="A8" s="25">
        <v>45230</v>
      </c>
      <c r="B8" s="45">
        <v>15000</v>
      </c>
      <c r="G8" t="s">
        <v>94</v>
      </c>
      <c r="H8" s="163">
        <f>_xlfn.FORECAST.ETS.STAT($B$2:$B$12,$A$2:$A$12,7,1,1)</f>
        <v>1382.4495295408046</v>
      </c>
    </row>
    <row r="9" spans="1:8" x14ac:dyDescent="0.3">
      <c r="A9" s="25">
        <v>45322</v>
      </c>
      <c r="B9" s="45">
        <v>20000</v>
      </c>
    </row>
    <row r="10" spans="1:8" x14ac:dyDescent="0.3">
      <c r="A10" s="25">
        <v>45412</v>
      </c>
      <c r="B10" s="45">
        <v>19697.560975609758</v>
      </c>
    </row>
    <row r="11" spans="1:8" x14ac:dyDescent="0.3">
      <c r="A11" s="25">
        <v>45504</v>
      </c>
      <c r="B11" s="45">
        <v>21234.146341463413</v>
      </c>
    </row>
    <row r="12" spans="1:8" x14ac:dyDescent="0.3">
      <c r="A12" s="25">
        <v>45596</v>
      </c>
      <c r="B12" s="45">
        <v>17751.219512195123</v>
      </c>
      <c r="C12" s="45">
        <v>17751.219512195123</v>
      </c>
      <c r="D12" s="45">
        <v>17751.219512195123</v>
      </c>
      <c r="E12" s="45">
        <v>17751.219512195123</v>
      </c>
    </row>
    <row r="13" spans="1:8" x14ac:dyDescent="0.3">
      <c r="A13" s="25">
        <v>45688</v>
      </c>
      <c r="B13" s="45">
        <v>24117.073170731706</v>
      </c>
      <c r="C13" s="45">
        <f>_xlfn.FORECAST.ETS(A13,$B$2:$B$12,$A$2:$A$12,1,1)</f>
        <v>21548.075657370729</v>
      </c>
      <c r="D13" s="45">
        <f>C13-_xlfn.FORECAST.ETS.CONFINT(A13,$B$2:$B$12,$A$2:$A$12,0.95,1,1)</f>
        <v>18702.018169310217</v>
      </c>
      <c r="E13" s="45">
        <f>C13+_xlfn.FORECAST.ETS.CONFINT(A13,$B$2:$B$12,$A$2:$A$12,0.95,1,1)</f>
        <v>24394.133145431242</v>
      </c>
    </row>
    <row r="14" spans="1:8" x14ac:dyDescent="0.3">
      <c r="A14" s="25">
        <v>45778</v>
      </c>
      <c r="C14" s="45">
        <f>_xlfn.FORECAST.ETS(A14,$B$2:$B$12,$A$2:$A$12,1,1)</f>
        <v>20140.302088950008</v>
      </c>
      <c r="D14" s="45">
        <f>C14-_xlfn.FORECAST.ETS.CONFINT(A14,$B$2:$B$12,$A$2:$A$12,0.95,1,1)</f>
        <v>17205.267443442797</v>
      </c>
      <c r="E14" s="45">
        <f>C14+_xlfn.FORECAST.ETS.CONFINT(A14,$B$2:$B$12,$A$2:$A$12,0.95,1,1)</f>
        <v>23075.336734457218</v>
      </c>
    </row>
    <row r="15" spans="1:8" x14ac:dyDescent="0.3">
      <c r="A15" s="25">
        <v>45869</v>
      </c>
      <c r="C15" s="45">
        <f>_xlfn.FORECAST.ETS(A15,$B$2:$B$12,$A$2:$A$12,1,1)</f>
        <v>22624.509278481659</v>
      </c>
      <c r="D15" s="45">
        <f>C15-_xlfn.FORECAST.ETS.CONFINT(A15,$B$2:$B$12,$A$2:$A$12,0.95,1,1)</f>
        <v>19601.760403855449</v>
      </c>
      <c r="E15" s="45">
        <f>C15+_xlfn.FORECAST.ETS.CONFINT(A15,$B$2:$B$12,$A$2:$A$12,0.95,1,1)</f>
        <v>25647.258153107869</v>
      </c>
    </row>
    <row r="16" spans="1:8" x14ac:dyDescent="0.3">
      <c r="A16" s="25">
        <v>45961</v>
      </c>
      <c r="C16" s="45">
        <f>_xlfn.FORECAST.ETS(A16,$B$2:$B$12,$A$2:$A$12,1,1)</f>
        <v>21216.735710060933</v>
      </c>
      <c r="D16" s="45">
        <f>C16-_xlfn.FORECAST.ETS.CONFINT(A16,$B$2:$B$12,$A$2:$A$12,0.95,1,1)</f>
        <v>18108.747108444062</v>
      </c>
      <c r="E16" s="45">
        <f>C16+_xlfn.FORECAST.ETS.CONFINT(A16,$B$2:$B$12,$A$2:$A$12,0.95,1,1)</f>
        <v>24324.724311677805</v>
      </c>
    </row>
  </sheetData>
  <pageMargins left="0.7" right="0.7" top="0.75" bottom="0.75" header="0.3" footer="0.3"/>
  <drawing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62ED3-148E-4C3C-A830-63C8A774EF46}">
  <dimension ref="A1:H16"/>
  <sheetViews>
    <sheetView workbookViewId="0">
      <selection activeCell="J27" sqref="J27"/>
    </sheetView>
  </sheetViews>
  <sheetFormatPr defaultRowHeight="14" x14ac:dyDescent="0.3"/>
  <cols>
    <col min="1" max="1" width="10.58203125" customWidth="1"/>
    <col min="2" max="2" width="9.25" customWidth="1"/>
    <col min="3" max="3" width="16.5" customWidth="1"/>
    <col min="4" max="4" width="31.25" customWidth="1"/>
    <col min="5" max="5" width="31.33203125" customWidth="1"/>
    <col min="7" max="7" width="10" customWidth="1"/>
    <col min="8" max="8" width="13.33203125" customWidth="1"/>
  </cols>
  <sheetData>
    <row r="1" spans="1:8" x14ac:dyDescent="0.3">
      <c r="A1" t="s">
        <v>54</v>
      </c>
      <c r="B1" t="s">
        <v>55</v>
      </c>
      <c r="C1" t="s">
        <v>56</v>
      </c>
      <c r="D1" t="s">
        <v>57</v>
      </c>
      <c r="E1" t="s">
        <v>58</v>
      </c>
      <c r="G1" t="s">
        <v>86</v>
      </c>
      <c r="H1" t="s">
        <v>87</v>
      </c>
    </row>
    <row r="2" spans="1:8" x14ac:dyDescent="0.3">
      <c r="A2" s="25">
        <v>44681</v>
      </c>
      <c r="B2" s="47">
        <v>200000</v>
      </c>
      <c r="G2" t="s">
        <v>88</v>
      </c>
      <c r="H2" s="163">
        <f>_xlfn.FORECAST.ETS.STAT($B$2:$B$12,$A$2:$A$12,1,1,1)</f>
        <v>0.1</v>
      </c>
    </row>
    <row r="3" spans="1:8" x14ac:dyDescent="0.3">
      <c r="A3" s="25">
        <v>44773</v>
      </c>
      <c r="B3" s="47">
        <v>180000</v>
      </c>
      <c r="G3" t="s">
        <v>89</v>
      </c>
      <c r="H3" s="163">
        <f>_xlfn.FORECAST.ETS.STAT($B$2:$B$12,$A$2:$A$12,2,1,1)</f>
        <v>1E-3</v>
      </c>
    </row>
    <row r="4" spans="1:8" x14ac:dyDescent="0.3">
      <c r="A4" s="25">
        <v>44865</v>
      </c>
      <c r="B4" s="47">
        <v>215000</v>
      </c>
      <c r="G4" t="s">
        <v>90</v>
      </c>
      <c r="H4" s="163">
        <f>_xlfn.FORECAST.ETS.STAT($B$2:$B$12,$A$2:$A$12,3,1,1)</f>
        <v>2.2204460492503131E-16</v>
      </c>
    </row>
    <row r="5" spans="1:8" x14ac:dyDescent="0.3">
      <c r="A5" s="25">
        <v>44957</v>
      </c>
      <c r="B5" s="47">
        <v>220000</v>
      </c>
      <c r="G5" t="s">
        <v>91</v>
      </c>
      <c r="H5" s="163">
        <f>_xlfn.FORECAST.ETS.STAT($B$2:$B$12,$A$2:$A$12,4,1,1)</f>
        <v>0.39482723592401364</v>
      </c>
    </row>
    <row r="6" spans="1:8" x14ac:dyDescent="0.3">
      <c r="A6" s="25">
        <v>45046</v>
      </c>
      <c r="B6" s="47">
        <v>250000</v>
      </c>
      <c r="G6" t="s">
        <v>92</v>
      </c>
      <c r="H6" s="163">
        <f>_xlfn.FORECAST.ETS.STAT($B$2:$B$12,$A$2:$A$12,5,1,1)</f>
        <v>3.4857917053810167E-2</v>
      </c>
    </row>
    <row r="7" spans="1:8" x14ac:dyDescent="0.3">
      <c r="A7" s="25">
        <v>45138</v>
      </c>
      <c r="B7" s="47">
        <v>260000</v>
      </c>
      <c r="G7" t="s">
        <v>93</v>
      </c>
      <c r="H7" s="163">
        <f>_xlfn.FORECAST.ETS.STAT($B$2:$B$12,$A$2:$A$12,6,1,1)</f>
        <v>9870.6808981003414</v>
      </c>
    </row>
    <row r="8" spans="1:8" x14ac:dyDescent="0.3">
      <c r="A8" s="25">
        <v>45230</v>
      </c>
      <c r="B8" s="47">
        <v>210000</v>
      </c>
      <c r="G8" t="s">
        <v>94</v>
      </c>
      <c r="H8" s="163">
        <f>_xlfn.FORECAST.ETS.STAT($B$2:$B$12,$A$2:$A$12,7,1,1)</f>
        <v>12818.858902140668</v>
      </c>
    </row>
    <row r="9" spans="1:8" x14ac:dyDescent="0.3">
      <c r="A9" s="25">
        <v>45322</v>
      </c>
      <c r="B9" s="47">
        <v>260000</v>
      </c>
    </row>
    <row r="10" spans="1:8" x14ac:dyDescent="0.3">
      <c r="A10" s="25">
        <v>45412</v>
      </c>
      <c r="B10" s="47">
        <v>294294.47852760734</v>
      </c>
    </row>
    <row r="11" spans="1:8" x14ac:dyDescent="0.3">
      <c r="A11" s="25">
        <v>45504</v>
      </c>
      <c r="B11" s="47">
        <v>285865.03067484661</v>
      </c>
    </row>
    <row r="12" spans="1:8" x14ac:dyDescent="0.3">
      <c r="A12" s="25">
        <v>45596</v>
      </c>
      <c r="B12" s="47">
        <v>281116.56441717787</v>
      </c>
      <c r="C12" s="47">
        <v>281116.56441717787</v>
      </c>
      <c r="D12" s="47">
        <v>281116.56441717787</v>
      </c>
      <c r="E12" s="47">
        <v>281116.56441717787</v>
      </c>
    </row>
    <row r="13" spans="1:8" x14ac:dyDescent="0.3">
      <c r="A13" s="25">
        <v>45688</v>
      </c>
      <c r="B13" s="47">
        <v>314723.92638036812</v>
      </c>
      <c r="C13" s="47">
        <f>_xlfn.FORECAST.ETS(A13,$B$2:$B$12,$A$2:$A$12,1,1)</f>
        <v>304294.95816924277</v>
      </c>
      <c r="D13" s="47">
        <f>C13-_xlfn.FORECAST.ETS.CONFINT(A13,$B$2:$B$12,$A$2:$A$12,0.95,1,1)</f>
        <v>265318.77355666226</v>
      </c>
      <c r="E13" s="47">
        <f>C13+_xlfn.FORECAST.ETS.CONFINT(A13,$B$2:$B$12,$A$2:$A$12,0.95,1,1)</f>
        <v>343271.14278182329</v>
      </c>
    </row>
    <row r="14" spans="1:8" x14ac:dyDescent="0.3">
      <c r="A14" s="25">
        <v>45778</v>
      </c>
      <c r="C14" s="47">
        <f>_xlfn.FORECAST.ETS(A14,$B$2:$B$12,$A$2:$A$12,1,1)</f>
        <v>314298.12525867834</v>
      </c>
      <c r="D14" s="47">
        <f>C14-_xlfn.FORECAST.ETS.CONFINT(A14,$B$2:$B$12,$A$2:$A$12,0.95,1,1)</f>
        <v>275123.64703165082</v>
      </c>
      <c r="E14" s="47">
        <f>C14+_xlfn.FORECAST.ETS.CONFINT(A14,$B$2:$B$12,$A$2:$A$12,0.95,1,1)</f>
        <v>353472.60348570585</v>
      </c>
    </row>
    <row r="15" spans="1:8" x14ac:dyDescent="0.3">
      <c r="A15" s="25">
        <v>45869</v>
      </c>
      <c r="C15" s="47">
        <f>_xlfn.FORECAST.ETS(A15,$B$2:$B$12,$A$2:$A$12,1,1)</f>
        <v>324301.2923481139</v>
      </c>
      <c r="D15" s="47">
        <f>C15-_xlfn.FORECAST.ETS.CONFINT(A15,$B$2:$B$12,$A$2:$A$12,0.95,1,1)</f>
        <v>284925.60304890235</v>
      </c>
      <c r="E15" s="47">
        <f>C15+_xlfn.FORECAST.ETS.CONFINT(A15,$B$2:$B$12,$A$2:$A$12,0.95,1,1)</f>
        <v>363676.98164732545</v>
      </c>
    </row>
    <row r="16" spans="1:8" x14ac:dyDescent="0.3">
      <c r="A16" s="25">
        <v>45961</v>
      </c>
      <c r="C16" s="47">
        <f>_xlfn.FORECAST.ETS(A16,$B$2:$B$12,$A$2:$A$12,1,1)</f>
        <v>334304.45943754946</v>
      </c>
      <c r="D16" s="47">
        <f>C16-_xlfn.FORECAST.ETS.CONFINT(A16,$B$2:$B$12,$A$2:$A$12,0.95,1,1)</f>
        <v>294724.64772091218</v>
      </c>
      <c r="E16" s="47">
        <f>C16+_xlfn.FORECAST.ETS.CONFINT(A16,$B$2:$B$12,$A$2:$A$12,0.95,1,1)</f>
        <v>373884.27115418675</v>
      </c>
    </row>
  </sheetData>
  <pageMargins left="0.7" right="0.7" top="0.75" bottom="0.75" header="0.3" footer="0.3"/>
  <drawing r:id="rId1"/>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B212-0824-4008-BE59-8831A86EDE0F}">
  <dimension ref="A1:H16"/>
  <sheetViews>
    <sheetView workbookViewId="0">
      <selection activeCell="K31" sqref="K31"/>
    </sheetView>
  </sheetViews>
  <sheetFormatPr defaultRowHeight="14" x14ac:dyDescent="0.3"/>
  <cols>
    <col min="1" max="1" width="10.58203125" customWidth="1"/>
    <col min="2" max="2" width="18.25" customWidth="1"/>
    <col min="3" max="3" width="27" customWidth="1"/>
    <col min="4" max="4" width="41.75" customWidth="1"/>
    <col min="5" max="5" width="41.83203125" customWidth="1"/>
    <col min="7" max="7" width="10" customWidth="1"/>
    <col min="8" max="8" width="8.25" customWidth="1"/>
  </cols>
  <sheetData>
    <row r="1" spans="1:8" x14ac:dyDescent="0.3">
      <c r="A1" t="s">
        <v>54</v>
      </c>
      <c r="B1" t="s">
        <v>33</v>
      </c>
      <c r="C1" t="s">
        <v>61</v>
      </c>
      <c r="D1" t="s">
        <v>62</v>
      </c>
      <c r="E1" t="s">
        <v>63</v>
      </c>
      <c r="G1" t="s">
        <v>86</v>
      </c>
      <c r="H1" t="s">
        <v>87</v>
      </c>
    </row>
    <row r="2" spans="1:8" x14ac:dyDescent="0.3">
      <c r="A2" s="25">
        <v>44681</v>
      </c>
      <c r="B2">
        <v>4.8</v>
      </c>
      <c r="G2" t="s">
        <v>88</v>
      </c>
      <c r="H2" s="163">
        <f>_xlfn.FORECAST.ETS.STAT($B$2:$B$12,$A$2:$A$12,1,1,1)</f>
        <v>0.75</v>
      </c>
    </row>
    <row r="3" spans="1:8" x14ac:dyDescent="0.3">
      <c r="A3" s="25">
        <v>44773</v>
      </c>
      <c r="B3">
        <v>4.8499999999999996</v>
      </c>
      <c r="G3" t="s">
        <v>89</v>
      </c>
      <c r="H3" s="163">
        <f>_xlfn.FORECAST.ETS.STAT($B$2:$B$12,$A$2:$A$12,2,1,1)</f>
        <v>1E-3</v>
      </c>
    </row>
    <row r="4" spans="1:8" x14ac:dyDescent="0.3">
      <c r="A4" s="25">
        <v>44865</v>
      </c>
      <c r="B4">
        <v>4.8</v>
      </c>
      <c r="G4" t="s">
        <v>90</v>
      </c>
      <c r="H4" s="163">
        <f>_xlfn.FORECAST.ETS.STAT($B$2:$B$12,$A$2:$A$12,3,1,1)</f>
        <v>2.2204460492503131E-16</v>
      </c>
    </row>
    <row r="5" spans="1:8" x14ac:dyDescent="0.3">
      <c r="A5" s="25">
        <v>44957</v>
      </c>
      <c r="B5">
        <v>4.75</v>
      </c>
      <c r="G5" t="s">
        <v>91</v>
      </c>
      <c r="H5" s="163">
        <f>_xlfn.FORECAST.ETS.STAT($B$2:$B$12,$A$2:$A$12,4,1,1)</f>
        <v>0.68679012009316187</v>
      </c>
    </row>
    <row r="6" spans="1:8" x14ac:dyDescent="0.3">
      <c r="A6" s="25">
        <v>45046</v>
      </c>
      <c r="B6">
        <v>4.7</v>
      </c>
      <c r="G6" t="s">
        <v>92</v>
      </c>
      <c r="H6" s="163">
        <f>_xlfn.FORECAST.ETS.STAT($B$2:$B$12,$A$2:$A$12,5,1,1)</f>
        <v>7.615968370331733E-3</v>
      </c>
    </row>
    <row r="7" spans="1:8" x14ac:dyDescent="0.3">
      <c r="A7" s="25">
        <v>45138</v>
      </c>
      <c r="B7">
        <v>4.68</v>
      </c>
      <c r="G7" t="s">
        <v>93</v>
      </c>
      <c r="H7" s="163">
        <f>_xlfn.FORECAST.ETS.STAT($B$2:$B$12,$A$2:$A$12,6,1,1)</f>
        <v>3.4339506004658071E-2</v>
      </c>
    </row>
    <row r="8" spans="1:8" x14ac:dyDescent="0.3">
      <c r="A8" s="25">
        <v>45230</v>
      </c>
      <c r="B8">
        <v>4.5999999999999996</v>
      </c>
      <c r="G8" t="s">
        <v>94</v>
      </c>
      <c r="H8" s="163">
        <f>_xlfn.FORECAST.ETS.STAT($B$2:$B$12,$A$2:$A$12,7,1,1)</f>
        <v>3.6371359336480419E-2</v>
      </c>
    </row>
    <row r="9" spans="1:8" x14ac:dyDescent="0.3">
      <c r="A9" s="25">
        <v>45322</v>
      </c>
      <c r="B9">
        <v>4.59</v>
      </c>
    </row>
    <row r="10" spans="1:8" x14ac:dyDescent="0.3">
      <c r="A10" s="25">
        <v>45412</v>
      </c>
      <c r="B10">
        <v>4.5</v>
      </c>
    </row>
    <row r="11" spans="1:8" x14ac:dyDescent="0.3">
      <c r="A11" s="25">
        <v>45504</v>
      </c>
      <c r="B11">
        <v>4.5</v>
      </c>
    </row>
    <row r="12" spans="1:8" x14ac:dyDescent="0.3">
      <c r="A12" s="25">
        <v>45596</v>
      </c>
      <c r="B12">
        <v>4.5</v>
      </c>
      <c r="C12">
        <v>4.5</v>
      </c>
      <c r="D12" s="46">
        <v>4.5</v>
      </c>
      <c r="E12" s="46">
        <v>4.5</v>
      </c>
    </row>
    <row r="13" spans="1:8" x14ac:dyDescent="0.3">
      <c r="A13" s="25">
        <v>45688</v>
      </c>
      <c r="B13">
        <v>4.5</v>
      </c>
      <c r="C13">
        <f>_xlfn.FORECAST.ETS(A13,$B$2:$B$12,$A$2:$A$12,1,1)</f>
        <v>4.4504920653442825</v>
      </c>
      <c r="D13" s="46">
        <f>C13-_xlfn.FORECAST.ETS.CONFINT(A13,$B$2:$B$12,$A$2:$A$12,0.95,1,1)</f>
        <v>4.3777499515488127</v>
      </c>
      <c r="E13" s="46">
        <f>C13+_xlfn.FORECAST.ETS.CONFINT(A13,$B$2:$B$12,$A$2:$A$12,0.95,1,1)</f>
        <v>4.5232341791397523</v>
      </c>
    </row>
    <row r="14" spans="1:8" x14ac:dyDescent="0.3">
      <c r="A14" s="25">
        <v>45778</v>
      </c>
      <c r="C14">
        <f>_xlfn.FORECAST.ETS(A14,$B$2:$B$12,$A$2:$A$12,1,1)</f>
        <v>4.4122241029480067</v>
      </c>
      <c r="D14" s="46">
        <f>C14-_xlfn.FORECAST.ETS.CONFINT(A14,$B$2:$B$12,$A$2:$A$12,0.95,1,1)</f>
        <v>4.3212527968223471</v>
      </c>
      <c r="E14" s="46">
        <f>C14+_xlfn.FORECAST.ETS.CONFINT(A14,$B$2:$B$12,$A$2:$A$12,0.95,1,1)</f>
        <v>4.5031954090736663</v>
      </c>
    </row>
    <row r="15" spans="1:8" x14ac:dyDescent="0.3">
      <c r="A15" s="25">
        <v>45869</v>
      </c>
      <c r="C15">
        <f>_xlfn.FORECAST.ETS(A15,$B$2:$B$12,$A$2:$A$12,1,1)</f>
        <v>4.3739561405517318</v>
      </c>
      <c r="D15" s="46">
        <f>C15-_xlfn.FORECAST.ETS.CONFINT(A15,$B$2:$B$12,$A$2:$A$12,0.95,1,1)</f>
        <v>4.2678048572155962</v>
      </c>
      <c r="E15" s="46">
        <f>C15+_xlfn.FORECAST.ETS.CONFINT(A15,$B$2:$B$12,$A$2:$A$12,0.95,1,1)</f>
        <v>4.4801074238878673</v>
      </c>
    </row>
    <row r="16" spans="1:8" x14ac:dyDescent="0.3">
      <c r="A16" s="25">
        <v>45961</v>
      </c>
      <c r="C16">
        <f>_xlfn.FORECAST.ETS(A16,$B$2:$B$12,$A$2:$A$12,1,1)</f>
        <v>4.3356881781554568</v>
      </c>
      <c r="D16" s="46">
        <f>C16-_xlfn.FORECAST.ETS.CONFINT(A16,$B$2:$B$12,$A$2:$A$12,0.95,1,1)</f>
        <v>4.216237874893543</v>
      </c>
      <c r="E16" s="46">
        <f>C16+_xlfn.FORECAST.ETS.CONFINT(A16,$B$2:$B$12,$A$2:$A$12,0.95,1,1)</f>
        <v>4.4551384814173707</v>
      </c>
    </row>
  </sheetData>
  <pageMargins left="0.7" right="0.7" top="0.75" bottom="0.75" header="0.3" footer="0.3"/>
  <drawing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42FB7-7907-4FAA-A267-EE42B13F298C}">
  <dimension ref="A1:H16"/>
  <sheetViews>
    <sheetView workbookViewId="0">
      <selection activeCell="D32" sqref="D32"/>
    </sheetView>
  </sheetViews>
  <sheetFormatPr defaultRowHeight="14" x14ac:dyDescent="0.3"/>
  <cols>
    <col min="1" max="1" width="10.58203125" customWidth="1"/>
    <col min="2" max="2" width="18.58203125" customWidth="1"/>
    <col min="3" max="3" width="27.5" customWidth="1"/>
    <col min="4" max="4" width="42.25" customWidth="1"/>
    <col min="5" max="5" width="42.33203125" customWidth="1"/>
    <col min="7" max="7" width="10" customWidth="1"/>
    <col min="8" max="8" width="8.25" customWidth="1"/>
  </cols>
  <sheetData>
    <row r="1" spans="1:8" x14ac:dyDescent="0.3">
      <c r="A1" t="s">
        <v>54</v>
      </c>
      <c r="B1" t="s">
        <v>34</v>
      </c>
      <c r="C1" t="s">
        <v>64</v>
      </c>
      <c r="D1" t="s">
        <v>65</v>
      </c>
      <c r="E1" t="s">
        <v>66</v>
      </c>
      <c r="G1" t="s">
        <v>86</v>
      </c>
      <c r="H1" t="s">
        <v>87</v>
      </c>
    </row>
    <row r="2" spans="1:8" x14ac:dyDescent="0.3">
      <c r="A2" s="25">
        <v>44681</v>
      </c>
      <c r="B2">
        <v>1.7</v>
      </c>
      <c r="G2" t="s">
        <v>88</v>
      </c>
      <c r="H2" s="163">
        <f>_xlfn.FORECAST.ETS.STAT($B$2:$B$12,$A$2:$A$12,1,1,1)</f>
        <v>0.998</v>
      </c>
    </row>
    <row r="3" spans="1:8" x14ac:dyDescent="0.3">
      <c r="A3" s="25">
        <v>44773</v>
      </c>
      <c r="B3">
        <v>1.78</v>
      </c>
      <c r="G3" t="s">
        <v>89</v>
      </c>
      <c r="H3" s="163">
        <f>_xlfn.FORECAST.ETS.STAT($B$2:$B$12,$A$2:$A$12,2,1,1)</f>
        <v>0.249</v>
      </c>
    </row>
    <row r="4" spans="1:8" x14ac:dyDescent="0.3">
      <c r="A4" s="25">
        <v>44865</v>
      </c>
      <c r="B4">
        <v>1.8</v>
      </c>
      <c r="G4" t="s">
        <v>90</v>
      </c>
      <c r="H4" s="163">
        <f>_xlfn.FORECAST.ETS.STAT($B$2:$B$12,$A$2:$A$12,3,1,1)</f>
        <v>2.2204460492503131E-16</v>
      </c>
    </row>
    <row r="5" spans="1:8" x14ac:dyDescent="0.3">
      <c r="A5" s="25">
        <v>44957</v>
      </c>
      <c r="B5">
        <v>1.81</v>
      </c>
      <c r="G5" t="s">
        <v>91</v>
      </c>
      <c r="H5" s="163">
        <f>_xlfn.FORECAST.ETS.STAT($B$2:$B$12,$A$2:$A$12,4,1,1)</f>
        <v>0.42500856588536245</v>
      </c>
    </row>
    <row r="6" spans="1:8" x14ac:dyDescent="0.3">
      <c r="A6" s="25">
        <v>45046</v>
      </c>
      <c r="B6">
        <v>1.78</v>
      </c>
      <c r="G6" t="s">
        <v>92</v>
      </c>
      <c r="H6" s="163">
        <f>_xlfn.FORECAST.ETS.STAT($B$2:$B$12,$A$2:$A$12,5,1,1)</f>
        <v>1.5207056378205394E-2</v>
      </c>
    </row>
    <row r="7" spans="1:8" x14ac:dyDescent="0.3">
      <c r="A7" s="25">
        <v>45138</v>
      </c>
      <c r="B7">
        <v>1.7</v>
      </c>
      <c r="G7" t="s">
        <v>93</v>
      </c>
      <c r="H7" s="163">
        <f>_xlfn.FORECAST.ETS.STAT($B$2:$B$12,$A$2:$A$12,6,1,1)</f>
        <v>2.2667123513886001E-2</v>
      </c>
    </row>
    <row r="8" spans="1:8" x14ac:dyDescent="0.3">
      <c r="A8" s="25">
        <v>45230</v>
      </c>
      <c r="B8">
        <v>1.6</v>
      </c>
      <c r="G8" t="s">
        <v>94</v>
      </c>
      <c r="H8" s="163">
        <f>_xlfn.FORECAST.ETS.STAT($B$2:$B$12,$A$2:$A$12,7,1,1)</f>
        <v>2.2917285047070343E-2</v>
      </c>
    </row>
    <row r="9" spans="1:8" x14ac:dyDescent="0.3">
      <c r="A9" s="25">
        <v>45322</v>
      </c>
      <c r="B9">
        <v>1.53</v>
      </c>
    </row>
    <row r="10" spans="1:8" x14ac:dyDescent="0.3">
      <c r="A10" s="25">
        <v>45412</v>
      </c>
      <c r="B10">
        <v>1.5</v>
      </c>
    </row>
    <row r="11" spans="1:8" x14ac:dyDescent="0.3">
      <c r="A11" s="25">
        <v>45504</v>
      </c>
      <c r="B11">
        <v>1.48</v>
      </c>
    </row>
    <row r="12" spans="1:8" x14ac:dyDescent="0.3">
      <c r="A12" s="25">
        <v>45596</v>
      </c>
      <c r="B12">
        <v>1.46</v>
      </c>
      <c r="C12">
        <v>1.46</v>
      </c>
      <c r="D12" s="46">
        <v>1.46</v>
      </c>
      <c r="E12" s="46">
        <v>1.46</v>
      </c>
    </row>
    <row r="13" spans="1:8" x14ac:dyDescent="0.3">
      <c r="A13" s="25">
        <v>45688</v>
      </c>
      <c r="B13">
        <v>1.45</v>
      </c>
      <c r="C13">
        <f>_xlfn.FORECAST.ETS(A13,$B$2:$B$12,$A$2:$A$12,1,1)</f>
        <v>1.4258737828953623</v>
      </c>
      <c r="D13" s="46">
        <f>C13-_xlfn.FORECAST.ETS.CONFINT(A13,$B$2:$B$12,$A$2:$A$12,0.95,1,1)</f>
        <v>1.3254803450268544</v>
      </c>
      <c r="E13" s="46">
        <f>C13+_xlfn.FORECAST.ETS.CONFINT(A13,$B$2:$B$12,$A$2:$A$12,0.95,1,1)</f>
        <v>1.5262672207638701</v>
      </c>
    </row>
    <row r="14" spans="1:8" x14ac:dyDescent="0.3">
      <c r="A14" s="25">
        <v>45778</v>
      </c>
      <c r="C14">
        <f>_xlfn.FORECAST.ETS(A14,$B$2:$B$12,$A$2:$A$12,1,1)</f>
        <v>1.3917852187171982</v>
      </c>
      <c r="D14" s="46">
        <f>C14-_xlfn.FORECAST.ETS.CONFINT(A14,$B$2:$B$12,$A$2:$A$12,0.95,1,1)</f>
        <v>1.2313123769108218</v>
      </c>
      <c r="E14" s="46">
        <f>C14+_xlfn.FORECAST.ETS.CONFINT(A14,$B$2:$B$12,$A$2:$A$12,0.95,1,1)</f>
        <v>1.5522580605235745</v>
      </c>
    </row>
    <row r="15" spans="1:8" x14ac:dyDescent="0.3">
      <c r="A15" s="25">
        <v>45869</v>
      </c>
      <c r="C15">
        <f>_xlfn.FORECAST.ETS(A15,$B$2:$B$12,$A$2:$A$12,1,1)</f>
        <v>1.3576966545390343</v>
      </c>
      <c r="D15" s="46">
        <f>C15-_xlfn.FORECAST.ETS.CONFINT(A15,$B$2:$B$12,$A$2:$A$12,0.95,1,1)</f>
        <v>1.1379055186022822</v>
      </c>
      <c r="E15" s="46">
        <f>C15+_xlfn.FORECAST.ETS.CONFINT(A15,$B$2:$B$12,$A$2:$A$12,0.95,1,1)</f>
        <v>1.5774877904757865</v>
      </c>
    </row>
    <row r="16" spans="1:8" x14ac:dyDescent="0.3">
      <c r="A16" s="25">
        <v>45961</v>
      </c>
      <c r="C16">
        <f>_xlfn.FORECAST.ETS(A16,$B$2:$B$12,$A$2:$A$12,1,1)</f>
        <v>1.3236080903608705</v>
      </c>
      <c r="D16" s="46">
        <f>C16-_xlfn.FORECAST.ETS.CONFINT(A16,$B$2:$B$12,$A$2:$A$12,0.95,1,1)</f>
        <v>1.0425414249323313</v>
      </c>
      <c r="E16" s="46">
        <f>C16+_xlfn.FORECAST.ETS.CONFINT(A16,$B$2:$B$12,$A$2:$A$12,0.95,1,1)</f>
        <v>1.6046747557894097</v>
      </c>
    </row>
  </sheetData>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Mterics</vt:lpstr>
      <vt:lpstr>Project analysis</vt:lpstr>
      <vt:lpstr>Sheet10</vt:lpstr>
      <vt:lpstr>Project Revenue_Metrics_Outflow</vt:lpstr>
      <vt:lpstr>Pivot in-outflow</vt:lpstr>
      <vt:lpstr>Seasonal Forcast for 2024</vt:lpstr>
      <vt:lpstr>Exponential Triple Smoothing</vt:lpstr>
      <vt:lpstr>Linear Regression Forecasting</vt:lpstr>
      <vt:lpstr>Autoregressive integrated movin</vt:lpstr>
      <vt:lpstr>Project-A</vt:lpstr>
      <vt:lpstr>Project-B</vt:lpstr>
      <vt:lpstr>Project-C</vt:lpstr>
      <vt:lpstr>Project-F1</vt:lpstr>
      <vt:lpstr>Project-F2</vt:lpstr>
      <vt:lpstr>Forex-USD</vt:lpstr>
      <vt:lpstr>Forex-RMB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2020-10-12T09:44:25Z</dcterms:created>
  <dcterms:modified xsi:type="dcterms:W3CDTF">2024-03-21T07:06:11Z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{6CC04354-4AF8-48D7-9626-EAD74AE91228}</vt:lpwstr>
  </property>
</Properties>
</file>